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outhgateky-my.sharepoint.com/personal/pedgley_southgateky_org/Documents/BUDGET 2026-2027/"/>
    </mc:Choice>
  </mc:AlternateContent>
  <xr:revisionPtr revIDLastSave="1" documentId="8_{2341C653-E9DA-441B-AD40-C39B7558FF54}" xr6:coauthVersionLast="47" xr6:coauthVersionMax="47" xr10:uidLastSave="{D78B7B20-B631-4708-8DB6-92A3F23979DB}"/>
  <bookViews>
    <workbookView xWindow="-120" yWindow="-120" windowWidth="29040" windowHeight="15720" xr2:uid="{00000000-000D-0000-FFFF-FFFF00000000}"/>
  </bookViews>
  <sheets>
    <sheet name="Amend 6-30-2026" sheetId="6" r:id="rId1"/>
    <sheet name="Amend 6-30-2025" sheetId="4" r:id="rId2"/>
    <sheet name="Amend 6-30-2024" sheetId="3" r:id="rId3"/>
    <sheet name="Amend 6-30-2023" sheetId="2" r:id="rId4"/>
  </sheets>
  <definedNames>
    <definedName name="_xlnm.Print_Area" localSheetId="0">'Amend 6-30-2026'!$A$1:$F$40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6" l="1"/>
  <c r="B21" i="6"/>
  <c r="B11" i="6"/>
  <c r="B9" i="6"/>
  <c r="B10" i="6" l="1"/>
  <c r="F10" i="6" l="1"/>
  <c r="E35" i="6"/>
  <c r="D35" i="6"/>
  <c r="C35" i="6"/>
  <c r="C37" i="6" s="1"/>
  <c r="E34" i="6"/>
  <c r="D34" i="6"/>
  <c r="C34" i="6"/>
  <c r="B34" i="6"/>
  <c r="B36" i="6" s="1"/>
  <c r="B38" i="6" s="1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E13" i="6"/>
  <c r="E37" i="6" s="1"/>
  <c r="E39" i="6" s="1"/>
  <c r="E44" i="6" s="1"/>
  <c r="D13" i="6"/>
  <c r="C13" i="6"/>
  <c r="E12" i="6"/>
  <c r="E36" i="6" s="1"/>
  <c r="E38" i="6" s="1"/>
  <c r="D12" i="6"/>
  <c r="D36" i="6" s="1"/>
  <c r="D38" i="6" s="1"/>
  <c r="C12" i="6"/>
  <c r="F9" i="6"/>
  <c r="F8" i="6"/>
  <c r="F7" i="6"/>
  <c r="F6" i="6"/>
  <c r="C35" i="4"/>
  <c r="C30" i="4"/>
  <c r="C34" i="4" s="1"/>
  <c r="B21" i="4"/>
  <c r="C39" i="6" l="1"/>
  <c r="C44" i="6" s="1"/>
  <c r="D37" i="6"/>
  <c r="D39" i="6" s="1"/>
  <c r="D44" i="6" s="1"/>
  <c r="C38" i="6"/>
  <c r="F12" i="6"/>
  <c r="B13" i="6"/>
  <c r="F34" i="6"/>
  <c r="F11" i="6"/>
  <c r="F13" i="6" s="1"/>
  <c r="B35" i="6"/>
  <c r="C36" i="6"/>
  <c r="C37" i="4"/>
  <c r="E35" i="4"/>
  <c r="D35" i="4"/>
  <c r="E34" i="4"/>
  <c r="D34" i="4"/>
  <c r="F33" i="4"/>
  <c r="F32" i="4"/>
  <c r="F31" i="4"/>
  <c r="F30" i="4"/>
  <c r="F29" i="4"/>
  <c r="F28" i="4"/>
  <c r="B27" i="4"/>
  <c r="B35" i="4" s="1"/>
  <c r="F26" i="4"/>
  <c r="F25" i="4"/>
  <c r="F24" i="4"/>
  <c r="F23" i="4"/>
  <c r="F22" i="4"/>
  <c r="F21" i="4"/>
  <c r="B34" i="4"/>
  <c r="F19" i="4"/>
  <c r="F18" i="4"/>
  <c r="F17" i="4"/>
  <c r="F16" i="4"/>
  <c r="E13" i="4"/>
  <c r="E37" i="4" s="1"/>
  <c r="E39" i="4" s="1"/>
  <c r="E44" i="4" s="1"/>
  <c r="D13" i="4"/>
  <c r="E12" i="4"/>
  <c r="D12" i="4"/>
  <c r="D36" i="4" s="1"/>
  <c r="D38" i="4" s="1"/>
  <c r="B11" i="4"/>
  <c r="F11" i="4" s="1"/>
  <c r="F10" i="4"/>
  <c r="F9" i="4"/>
  <c r="F8" i="4"/>
  <c r="C13" i="4"/>
  <c r="F6" i="4"/>
  <c r="B11" i="3"/>
  <c r="D21" i="3"/>
  <c r="B21" i="3"/>
  <c r="B27" i="3"/>
  <c r="B9" i="3"/>
  <c r="B7" i="3"/>
  <c r="B20" i="3"/>
  <c r="C6" i="3"/>
  <c r="B26" i="3"/>
  <c r="F36" i="6" l="1"/>
  <c r="F38" i="6" s="1"/>
  <c r="B37" i="6"/>
  <c r="F35" i="6"/>
  <c r="B44" i="6"/>
  <c r="E36" i="4"/>
  <c r="E38" i="4" s="1"/>
  <c r="B13" i="4"/>
  <c r="D37" i="4"/>
  <c r="D39" i="4" s="1"/>
  <c r="D44" i="4" s="1"/>
  <c r="F12" i="4"/>
  <c r="C39" i="4"/>
  <c r="C44" i="4" s="1"/>
  <c r="B36" i="4"/>
  <c r="B38" i="4" s="1"/>
  <c r="F34" i="4"/>
  <c r="B37" i="4"/>
  <c r="F35" i="4"/>
  <c r="B44" i="4"/>
  <c r="C12" i="4"/>
  <c r="F27" i="4"/>
  <c r="F20" i="4"/>
  <c r="F7" i="4"/>
  <c r="F13" i="4" s="1"/>
  <c r="D13" i="3"/>
  <c r="F37" i="6" l="1"/>
  <c r="B39" i="6"/>
  <c r="F39" i="6" s="1"/>
  <c r="F36" i="4"/>
  <c r="F38" i="4" s="1"/>
  <c r="C36" i="4"/>
  <c r="C38" i="4"/>
  <c r="B39" i="4"/>
  <c r="F39" i="4" s="1"/>
  <c r="F37" i="4"/>
  <c r="C7" i="3"/>
  <c r="C13" i="3" s="1"/>
  <c r="B13" i="3"/>
  <c r="C34" i="3"/>
  <c r="E35" i="3"/>
  <c r="D35" i="3"/>
  <c r="C37" i="3"/>
  <c r="E34" i="3"/>
  <c r="D34" i="3"/>
  <c r="B34" i="3"/>
  <c r="F33" i="3"/>
  <c r="F32" i="3"/>
  <c r="F31" i="3"/>
  <c r="F30" i="3"/>
  <c r="F29" i="3"/>
  <c r="F28" i="3"/>
  <c r="B35" i="3"/>
  <c r="F26" i="3"/>
  <c r="F25" i="3"/>
  <c r="F24" i="3"/>
  <c r="F23" i="3"/>
  <c r="F22" i="3"/>
  <c r="F21" i="3"/>
  <c r="F20" i="3"/>
  <c r="F19" i="3"/>
  <c r="F18" i="3"/>
  <c r="F17" i="3"/>
  <c r="F16" i="3"/>
  <c r="E13" i="3"/>
  <c r="E12" i="3"/>
  <c r="D12" i="3"/>
  <c r="D36" i="3" s="1"/>
  <c r="D38" i="3" s="1"/>
  <c r="C12" i="3"/>
  <c r="C38" i="3" s="1"/>
  <c r="B12" i="3"/>
  <c r="F11" i="3"/>
  <c r="F10" i="3"/>
  <c r="F9" i="3"/>
  <c r="F8" i="3"/>
  <c r="F6" i="3"/>
  <c r="B9" i="2"/>
  <c r="C34" i="2"/>
  <c r="C17" i="2"/>
  <c r="C35" i="2" s="1"/>
  <c r="C37" i="2" s="1"/>
  <c r="C13" i="2"/>
  <c r="C12" i="2"/>
  <c r="C39" i="3" l="1"/>
  <c r="C44" i="3" s="1"/>
  <c r="F7" i="3"/>
  <c r="F13" i="3" s="1"/>
  <c r="E37" i="3"/>
  <c r="E39" i="3" s="1"/>
  <c r="E44" i="3" s="1"/>
  <c r="B36" i="3"/>
  <c r="B38" i="3" s="1"/>
  <c r="C36" i="3"/>
  <c r="E36" i="3"/>
  <c r="E38" i="3" s="1"/>
  <c r="D37" i="3"/>
  <c r="D39" i="3" s="1"/>
  <c r="D44" i="3" s="1"/>
  <c r="F12" i="3"/>
  <c r="F35" i="3"/>
  <c r="B37" i="3"/>
  <c r="B44" i="3"/>
  <c r="F27" i="3"/>
  <c r="F34" i="3"/>
  <c r="C39" i="2"/>
  <c r="C44" i="2" s="1"/>
  <c r="C36" i="2"/>
  <c r="F36" i="3" l="1"/>
  <c r="F38" i="3" s="1"/>
  <c r="F37" i="3"/>
  <c r="B39" i="3"/>
  <c r="F39" i="3" s="1"/>
  <c r="B27" i="2"/>
  <c r="B35" i="2" s="1"/>
  <c r="D13" i="2"/>
  <c r="F10" i="2" l="1"/>
  <c r="B34" i="2"/>
  <c r="B13" i="2" l="1"/>
  <c r="F11" i="2"/>
  <c r="F7" i="2"/>
  <c r="F6" i="2"/>
  <c r="E35" i="2"/>
  <c r="D35" i="2"/>
  <c r="E34" i="2"/>
  <c r="D34" i="2"/>
  <c r="F34" i="2" s="1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E13" i="2"/>
  <c r="E12" i="2"/>
  <c r="D12" i="2"/>
  <c r="D36" i="2" s="1"/>
  <c r="D38" i="2" s="1"/>
  <c r="B12" i="2"/>
  <c r="F9" i="2"/>
  <c r="F8" i="2"/>
  <c r="E37" i="2" l="1"/>
  <c r="B44" i="2"/>
  <c r="F12" i="2"/>
  <c r="E36" i="2"/>
  <c r="E38" i="2" s="1"/>
  <c r="B36" i="2"/>
  <c r="B38" i="2" s="1"/>
  <c r="D37" i="2"/>
  <c r="D39" i="2" s="1"/>
  <c r="D44" i="2" s="1"/>
  <c r="F13" i="2"/>
  <c r="E39" i="2"/>
  <c r="E44" i="2" s="1"/>
  <c r="B37" i="2"/>
  <c r="F35" i="2"/>
  <c r="F21" i="2"/>
  <c r="B39" i="2" l="1"/>
  <c r="F39" i="2" s="1"/>
  <c r="F37" i="2"/>
  <c r="F36" i="2"/>
  <c r="F38" i="2" s="1"/>
</calcChain>
</file>

<file path=xl/sharedStrings.xml><?xml version="1.0" encoding="utf-8"?>
<sst xmlns="http://schemas.openxmlformats.org/spreadsheetml/2006/main" count="109" uniqueCount="32">
  <si>
    <t>General Fund</t>
  </si>
  <si>
    <t>Municipal Road Aid</t>
  </si>
  <si>
    <t>Southgate Community Center, Inc</t>
  </si>
  <si>
    <t>Memo Totals</t>
  </si>
  <si>
    <t>Fund Bal. Forward</t>
  </si>
  <si>
    <t>Estimated Revenues</t>
  </si>
  <si>
    <t>Transfer of Funds</t>
  </si>
  <si>
    <t>Total Resources                   Available for Appropriation</t>
  </si>
  <si>
    <t>Anticipated Expenses</t>
  </si>
  <si>
    <t>Admin &amp; General</t>
  </si>
  <si>
    <t>Police</t>
  </si>
  <si>
    <t>Streets</t>
  </si>
  <si>
    <t>Sewers</t>
  </si>
  <si>
    <t>Waste Collection</t>
  </si>
  <si>
    <t>Fire</t>
  </si>
  <si>
    <t>Community Center</t>
  </si>
  <si>
    <t>Parks</t>
  </si>
  <si>
    <t>Garage</t>
  </si>
  <si>
    <t>Total Anticipated  Appropriations</t>
  </si>
  <si>
    <t>Excess Res. Available over/under Appropriations</t>
  </si>
  <si>
    <t>Est. Fund Balance                          End of Fiscal Year</t>
  </si>
  <si>
    <t>CHECK FIGURES:</t>
  </si>
  <si>
    <t>NET INCOME</t>
  </si>
  <si>
    <t>City of Southgate</t>
  </si>
  <si>
    <t>Spccial Projects Fund</t>
  </si>
  <si>
    <t>Amend Budget 2022-23</t>
  </si>
  <si>
    <t>Amend Budget 2023-24</t>
  </si>
  <si>
    <t>**(only includes unrestricted fund balances)</t>
  </si>
  <si>
    <t>Fund Bal. Forward**</t>
  </si>
  <si>
    <t>Amend Budget 2024-25</t>
  </si>
  <si>
    <t>agrees w/audit rpt</t>
  </si>
  <si>
    <t>Amend Budget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</si>
</sst>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indexed="8"/>
      <name val="Times New Roman"/>
      <family val="1"/>
    </font>
    <font>
      <sz val="8"/>
      <color indexed="22"/>
      <name val="Times New Roman"/>
      <family val="1"/>
    </font>
    <font>
      <strike/>
      <sz val="8"/>
      <color indexed="8"/>
      <name val="Times New Roman"/>
      <family val="1"/>
    </font>
    <font>
      <sz val="8"/>
      <name val="Times New Roman"/>
      <family val="1"/>
    </font>
    <font>
      <b/>
      <strike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trike/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rgb="FFFF000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2" applyFont="1" applyBorder="1" applyAlignment="1">
      <alignment horizontal="center" wrapText="1"/>
    </xf>
    <xf numFmtId="0" fontId="4" fillId="2" borderId="1" xfId="2" applyFont="1" applyFill="1" applyBorder="1"/>
    <xf numFmtId="6" fontId="5" fillId="0" borderId="1" xfId="2" applyNumberFormat="1" applyFont="1" applyBorder="1" applyAlignment="1">
      <alignment horizontal="right"/>
    </xf>
    <xf numFmtId="6" fontId="5" fillId="0" borderId="1" xfId="0" applyNumberFormat="1" applyFont="1" applyBorder="1" applyAlignment="1">
      <alignment horizontal="right"/>
    </xf>
    <xf numFmtId="6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164" fontId="3" fillId="0" borderId="1" xfId="1" applyNumberFormat="1" applyFont="1" applyBorder="1" applyAlignment="1">
      <alignment horizontal="right"/>
    </xf>
    <xf numFmtId="6" fontId="5" fillId="0" borderId="1" xfId="0" applyNumberFormat="1" applyFont="1" applyBorder="1" applyAlignment="1">
      <alignment vertical="center"/>
    </xf>
    <xf numFmtId="6" fontId="3" fillId="0" borderId="1" xfId="0" applyNumberFormat="1" applyFont="1" applyBorder="1" applyAlignment="1">
      <alignment vertical="center"/>
    </xf>
    <xf numFmtId="0" fontId="3" fillId="2" borderId="1" xfId="0" applyFont="1" applyFill="1" applyBorder="1"/>
    <xf numFmtId="164" fontId="5" fillId="0" borderId="1" xfId="1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5" fillId="0" borderId="1" xfId="0" applyNumberFormat="1" applyFont="1" applyBorder="1"/>
    <xf numFmtId="6" fontId="5" fillId="0" borderId="1" xfId="0" applyNumberFormat="1" applyFont="1" applyBorder="1"/>
    <xf numFmtId="6" fontId="3" fillId="0" borderId="1" xfId="0" applyNumberFormat="1" applyFont="1" applyBorder="1"/>
    <xf numFmtId="6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164" fontId="9" fillId="0" borderId="0" xfId="1" applyNumberFormat="1" applyFont="1"/>
    <xf numFmtId="164" fontId="10" fillId="0" borderId="1" xfId="1" applyNumberFormat="1" applyFont="1" applyBorder="1" applyAlignment="1">
      <alignment horizontal="right"/>
    </xf>
    <xf numFmtId="6" fontId="0" fillId="0" borderId="0" xfId="0" applyNumberFormat="1"/>
    <xf numFmtId="43" fontId="0" fillId="0" borderId="0" xfId="3" applyFont="1"/>
    <xf numFmtId="164" fontId="9" fillId="3" borderId="0" xfId="1" applyNumberFormat="1" applyFont="1" applyFill="1"/>
    <xf numFmtId="0" fontId="11" fillId="0" borderId="0" xfId="0" applyFont="1"/>
    <xf numFmtId="14" fontId="11" fillId="0" borderId="0" xfId="0" applyNumberFormat="1" applyFont="1" applyAlignment="1">
      <alignment horizontal="left"/>
    </xf>
    <xf numFmtId="164" fontId="3" fillId="0" borderId="1" xfId="0" applyNumberFormat="1" applyFont="1" applyBorder="1"/>
    <xf numFmtId="6" fontId="3" fillId="4" borderId="1" xfId="2" applyNumberFormat="1" applyFont="1" applyFill="1" applyBorder="1" applyAlignment="1">
      <alignment horizontal="right"/>
    </xf>
    <xf numFmtId="6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5" fontId="3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6" fontId="3" fillId="4" borderId="1" xfId="0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horizontal="right"/>
    </xf>
    <xf numFmtId="164" fontId="5" fillId="4" borderId="1" xfId="1" applyNumberFormat="1" applyFont="1" applyFill="1" applyBorder="1" applyAlignment="1">
      <alignment horizontal="right"/>
    </xf>
    <xf numFmtId="6" fontId="8" fillId="4" borderId="1" xfId="0" applyNumberFormat="1" applyFont="1" applyFill="1" applyBorder="1" applyAlignment="1">
      <alignment horizontal="center" vertical="center"/>
    </xf>
    <xf numFmtId="0" fontId="12" fillId="0" borderId="0" xfId="0" quotePrefix="1" applyFont="1"/>
    <xf numFmtId="164" fontId="9" fillId="0" borderId="0" xfId="1" applyNumberFormat="1" applyFont="1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3F9B-4157-4F5E-9EA8-4BD44E9C6A93}">
  <dimension ref="A1:I49"/>
  <sheetViews>
    <sheetView tabSelected="1" workbookViewId="0">
      <selection activeCell="H8" sqref="H8"/>
    </sheetView>
  </sheetViews>
  <sheetFormatPr defaultRowHeight="15" x14ac:dyDescent="0.25"/>
  <cols>
    <col min="1" max="1" width="23.140625" style="19" customWidth="1"/>
    <col min="2" max="2" width="12.7109375" style="19" bestFit="1" customWidth="1"/>
    <col min="3" max="3" width="12.7109375" style="19" customWidth="1"/>
    <col min="4" max="4" width="12.140625" style="19" bestFit="1" customWidth="1"/>
    <col min="5" max="5" width="11.7109375" style="19" bestFit="1" customWidth="1"/>
    <col min="6" max="6" width="12" style="19" bestFit="1" customWidth="1"/>
    <col min="7" max="7" width="19.85546875" customWidth="1"/>
    <col min="8" max="8" width="13.28515625" style="23" bestFit="1" customWidth="1"/>
    <col min="9" max="9" width="10.85546875" bestFit="1" customWidth="1"/>
  </cols>
  <sheetData>
    <row r="1" spans="1:9" x14ac:dyDescent="0.25">
      <c r="A1" s="25" t="s">
        <v>23</v>
      </c>
    </row>
    <row r="2" spans="1:9" x14ac:dyDescent="0.25">
      <c r="A2" s="25" t="s">
        <v>31</v>
      </c>
    </row>
    <row r="3" spans="1:9" ht="15.75" x14ac:dyDescent="0.25">
      <c r="A3" s="26">
        <v>46176</v>
      </c>
      <c r="C3" s="49"/>
      <c r="D3" s="49"/>
      <c r="E3" s="49"/>
    </row>
    <row r="4" spans="1:9" ht="34.5" x14ac:dyDescent="0.25">
      <c r="A4" s="1"/>
      <c r="B4" s="1" t="s">
        <v>0</v>
      </c>
      <c r="C4" s="1" t="s">
        <v>24</v>
      </c>
      <c r="D4" s="1" t="s">
        <v>1</v>
      </c>
      <c r="E4" s="1" t="s">
        <v>2</v>
      </c>
      <c r="F4" s="1" t="s">
        <v>3</v>
      </c>
    </row>
    <row r="5" spans="1:9" x14ac:dyDescent="0.25">
      <c r="A5" s="2"/>
      <c r="B5" s="2"/>
      <c r="C5" s="2"/>
      <c r="D5" s="2"/>
      <c r="E5" s="2"/>
      <c r="F5" s="2"/>
    </row>
    <row r="6" spans="1:9" x14ac:dyDescent="0.25">
      <c r="A6" s="41" t="s">
        <v>28</v>
      </c>
      <c r="B6" s="3">
        <v>1731261</v>
      </c>
      <c r="C6" s="3">
        <v>218727</v>
      </c>
      <c r="D6" s="3">
        <v>148582</v>
      </c>
      <c r="E6" s="3">
        <v>6213</v>
      </c>
      <c r="F6" s="3">
        <f>SUM(B6:E6)</f>
        <v>2104783</v>
      </c>
      <c r="I6" s="22"/>
    </row>
    <row r="7" spans="1:9" x14ac:dyDescent="0.25">
      <c r="A7" s="42"/>
      <c r="B7" s="28">
        <v>2008599</v>
      </c>
      <c r="C7" s="28">
        <v>346033</v>
      </c>
      <c r="D7" s="28">
        <v>8762</v>
      </c>
      <c r="E7" s="28">
        <v>14823</v>
      </c>
      <c r="F7" s="28">
        <f>SUM(B7:E7)</f>
        <v>2378217</v>
      </c>
      <c r="G7" t="s">
        <v>30</v>
      </c>
      <c r="I7" s="22"/>
    </row>
    <row r="8" spans="1:9" x14ac:dyDescent="0.25">
      <c r="A8" s="39" t="s">
        <v>5</v>
      </c>
      <c r="B8" s="4">
        <v>4189336</v>
      </c>
      <c r="C8" s="4">
        <v>0</v>
      </c>
      <c r="D8" s="4">
        <v>605750</v>
      </c>
      <c r="E8" s="4">
        <v>43555</v>
      </c>
      <c r="F8" s="4">
        <f>+E8+D8+B8</f>
        <v>4838641</v>
      </c>
      <c r="I8" s="22"/>
    </row>
    <row r="9" spans="1:9" x14ac:dyDescent="0.25">
      <c r="A9" s="40"/>
      <c r="B9" s="29">
        <f>4104636-165000-60000</f>
        <v>3879636</v>
      </c>
      <c r="C9" s="29">
        <v>46152</v>
      </c>
      <c r="D9" s="29">
        <v>59081</v>
      </c>
      <c r="E9" s="29">
        <v>47355</v>
      </c>
      <c r="F9" s="29">
        <f>SUM(B9:E9)</f>
        <v>4032224</v>
      </c>
      <c r="I9" s="22"/>
    </row>
    <row r="10" spans="1:9" x14ac:dyDescent="0.25">
      <c r="A10" s="6" t="s">
        <v>6</v>
      </c>
      <c r="B10" s="4">
        <f>44000-60000</f>
        <v>-16000</v>
      </c>
      <c r="C10" s="21">
        <v>0</v>
      </c>
      <c r="D10" s="12">
        <v>60000</v>
      </c>
      <c r="E10" s="21">
        <v>-44000</v>
      </c>
      <c r="F10" s="5">
        <f>SUM(B10:E10)</f>
        <v>0</v>
      </c>
      <c r="I10" s="22"/>
    </row>
    <row r="11" spans="1:9" x14ac:dyDescent="0.25">
      <c r="A11" s="7"/>
      <c r="B11" s="30">
        <f>165000+60000-265000</f>
        <v>-40000</v>
      </c>
      <c r="C11" s="32">
        <v>-165000</v>
      </c>
      <c r="D11" s="31">
        <v>265000</v>
      </c>
      <c r="E11" s="32">
        <v>-60000</v>
      </c>
      <c r="F11" s="30">
        <f>SUM(B11:E11)</f>
        <v>0</v>
      </c>
      <c r="I11" s="22"/>
    </row>
    <row r="12" spans="1:9" x14ac:dyDescent="0.25">
      <c r="A12" s="43" t="s">
        <v>7</v>
      </c>
      <c r="B12" s="9">
        <v>4506740</v>
      </c>
      <c r="C12" s="9">
        <f t="shared" ref="C12:F12" si="0">+C6+C8+C10</f>
        <v>218727</v>
      </c>
      <c r="D12" s="9">
        <f t="shared" si="0"/>
        <v>814332</v>
      </c>
      <c r="E12" s="9">
        <f t="shared" si="0"/>
        <v>5768</v>
      </c>
      <c r="F12" s="9">
        <f t="shared" si="0"/>
        <v>6943424</v>
      </c>
      <c r="G12" s="22"/>
      <c r="I12" s="22"/>
    </row>
    <row r="13" spans="1:9" x14ac:dyDescent="0.25">
      <c r="A13" s="43"/>
      <c r="B13" s="33">
        <f>+B11+B9+B7</f>
        <v>5848235</v>
      </c>
      <c r="C13" s="33">
        <f>+C7+C9+C11</f>
        <v>227185</v>
      </c>
      <c r="D13" s="33">
        <f>+D7+D9+D11</f>
        <v>332843</v>
      </c>
      <c r="E13" s="33">
        <f t="shared" ref="E13:F13" si="1">+E11+E9+E7</f>
        <v>2178</v>
      </c>
      <c r="F13" s="33">
        <f t="shared" si="1"/>
        <v>6410441</v>
      </c>
      <c r="I13" s="22"/>
    </row>
    <row r="14" spans="1:9" x14ac:dyDescent="0.25">
      <c r="A14" s="11"/>
      <c r="B14" s="11"/>
      <c r="C14" s="11"/>
      <c r="D14" s="11"/>
      <c r="E14" s="11"/>
      <c r="F14" s="11"/>
      <c r="I14" s="22"/>
    </row>
    <row r="15" spans="1:9" x14ac:dyDescent="0.25">
      <c r="A15" s="44" t="s">
        <v>8</v>
      </c>
      <c r="B15" s="44"/>
      <c r="C15" s="44"/>
      <c r="D15" s="44"/>
      <c r="E15" s="44"/>
      <c r="F15" s="44"/>
      <c r="I15" s="22"/>
    </row>
    <row r="16" spans="1:9" x14ac:dyDescent="0.25">
      <c r="A16" s="39" t="s">
        <v>9</v>
      </c>
      <c r="B16" s="12">
        <v>504200</v>
      </c>
      <c r="C16" s="12">
        <v>5000</v>
      </c>
      <c r="D16" s="12"/>
      <c r="E16" s="12"/>
      <c r="F16" s="12">
        <f t="shared" ref="F16:F27" si="2">SUM(B16:E16)</f>
        <v>509200</v>
      </c>
      <c r="I16" s="22"/>
    </row>
    <row r="17" spans="1:9" x14ac:dyDescent="0.25">
      <c r="A17" s="40"/>
      <c r="B17" s="34">
        <v>481700</v>
      </c>
      <c r="C17" s="34">
        <v>5000</v>
      </c>
      <c r="D17" s="35"/>
      <c r="E17" s="35"/>
      <c r="F17" s="34">
        <f t="shared" si="2"/>
        <v>486700</v>
      </c>
      <c r="I17" s="22"/>
    </row>
    <row r="18" spans="1:9" x14ac:dyDescent="0.25">
      <c r="A18" s="39" t="s">
        <v>10</v>
      </c>
      <c r="B18" s="12">
        <v>1644765</v>
      </c>
      <c r="C18" s="12">
        <v>18000</v>
      </c>
      <c r="D18" s="12"/>
      <c r="E18" s="12"/>
      <c r="F18" s="12">
        <f t="shared" si="2"/>
        <v>1662765</v>
      </c>
      <c r="I18" s="22"/>
    </row>
    <row r="19" spans="1:9" x14ac:dyDescent="0.25">
      <c r="A19" s="40"/>
      <c r="B19" s="34">
        <v>1474554</v>
      </c>
      <c r="C19" s="34">
        <v>49534</v>
      </c>
      <c r="D19" s="34"/>
      <c r="E19" s="34"/>
      <c r="F19" s="34">
        <f t="shared" si="2"/>
        <v>1524088</v>
      </c>
      <c r="I19" s="22"/>
    </row>
    <row r="20" spans="1:9" x14ac:dyDescent="0.25">
      <c r="A20" s="39" t="s">
        <v>11</v>
      </c>
      <c r="B20" s="12">
        <v>266633</v>
      </c>
      <c r="C20" s="12">
        <v>10000</v>
      </c>
      <c r="D20" s="12">
        <v>665882</v>
      </c>
      <c r="E20" s="12"/>
      <c r="F20" s="12">
        <f t="shared" si="2"/>
        <v>942515</v>
      </c>
      <c r="I20" s="22"/>
    </row>
    <row r="21" spans="1:9" x14ac:dyDescent="0.25">
      <c r="A21" s="40"/>
      <c r="B21" s="34">
        <f>491633-265000</f>
        <v>226633</v>
      </c>
      <c r="C21" s="34">
        <v>2900</v>
      </c>
      <c r="D21" s="34">
        <v>332524</v>
      </c>
      <c r="E21" s="34"/>
      <c r="F21" s="34">
        <f t="shared" si="2"/>
        <v>562057</v>
      </c>
      <c r="H21"/>
    </row>
    <row r="22" spans="1:9" x14ac:dyDescent="0.25">
      <c r="A22" s="39" t="s">
        <v>12</v>
      </c>
      <c r="B22" s="12">
        <v>35672</v>
      </c>
      <c r="C22" s="12"/>
      <c r="D22" s="12"/>
      <c r="E22" s="12"/>
      <c r="F22" s="8">
        <f t="shared" si="2"/>
        <v>35672</v>
      </c>
      <c r="H22"/>
    </row>
    <row r="23" spans="1:9" x14ac:dyDescent="0.25">
      <c r="A23" s="40"/>
      <c r="B23" s="34">
        <v>35982</v>
      </c>
      <c r="C23" s="35"/>
      <c r="D23" s="35"/>
      <c r="E23" s="35"/>
      <c r="F23" s="34">
        <f t="shared" si="2"/>
        <v>35982</v>
      </c>
      <c r="H23"/>
    </row>
    <row r="24" spans="1:9" x14ac:dyDescent="0.25">
      <c r="A24" s="39" t="s">
        <v>13</v>
      </c>
      <c r="B24" s="12">
        <v>271566</v>
      </c>
      <c r="C24" s="8"/>
      <c r="D24" s="8"/>
      <c r="E24" s="8"/>
      <c r="F24" s="12">
        <f t="shared" si="2"/>
        <v>271566</v>
      </c>
      <c r="H24"/>
    </row>
    <row r="25" spans="1:9" x14ac:dyDescent="0.25">
      <c r="A25" s="40"/>
      <c r="B25" s="34">
        <v>275000</v>
      </c>
      <c r="C25" s="34"/>
      <c r="D25" s="34"/>
      <c r="E25" s="34"/>
      <c r="F25" s="34">
        <f t="shared" si="2"/>
        <v>275000</v>
      </c>
      <c r="H25"/>
    </row>
    <row r="26" spans="1:9" x14ac:dyDescent="0.25">
      <c r="A26" s="39" t="s">
        <v>14</v>
      </c>
      <c r="B26" s="12">
        <v>813888</v>
      </c>
      <c r="C26" s="12">
        <v>0</v>
      </c>
      <c r="D26" s="12"/>
      <c r="E26" s="12"/>
      <c r="F26" s="12">
        <f t="shared" si="2"/>
        <v>813888</v>
      </c>
      <c r="H26"/>
    </row>
    <row r="27" spans="1:9" x14ac:dyDescent="0.25">
      <c r="A27" s="40"/>
      <c r="B27" s="34">
        <f>687000+180888</f>
        <v>867888</v>
      </c>
      <c r="C27" s="34">
        <v>0</v>
      </c>
      <c r="D27" s="34"/>
      <c r="E27" s="34"/>
      <c r="F27" s="34">
        <f t="shared" si="2"/>
        <v>867888</v>
      </c>
      <c r="I27" s="22"/>
    </row>
    <row r="28" spans="1:9" x14ac:dyDescent="0.25">
      <c r="A28" s="39" t="s">
        <v>15</v>
      </c>
      <c r="B28" s="4">
        <v>207303</v>
      </c>
      <c r="C28" s="12">
        <v>0</v>
      </c>
      <c r="D28" s="5"/>
      <c r="E28" s="4">
        <v>50</v>
      </c>
      <c r="F28" s="4">
        <f>+E28+B28</f>
        <v>207353</v>
      </c>
      <c r="I28" s="22"/>
    </row>
    <row r="29" spans="1:9" x14ac:dyDescent="0.25">
      <c r="A29" s="40"/>
      <c r="B29" s="34">
        <v>200998</v>
      </c>
      <c r="C29" s="34">
        <v>169751</v>
      </c>
      <c r="D29" s="34"/>
      <c r="E29" s="34">
        <v>50</v>
      </c>
      <c r="F29" s="34">
        <f>SUM(B29:E29)</f>
        <v>370799</v>
      </c>
      <c r="I29" s="22"/>
    </row>
    <row r="30" spans="1:9" x14ac:dyDescent="0.25">
      <c r="A30" s="39" t="s">
        <v>16</v>
      </c>
      <c r="B30" s="4">
        <v>372496</v>
      </c>
      <c r="C30" s="12">
        <v>90000</v>
      </c>
      <c r="D30" s="5"/>
      <c r="E30" s="5"/>
      <c r="F30" s="4">
        <f>SUM(B30:E30)</f>
        <v>462496</v>
      </c>
      <c r="I30" s="22"/>
    </row>
    <row r="31" spans="1:9" x14ac:dyDescent="0.25">
      <c r="A31" s="40"/>
      <c r="B31" s="34">
        <v>102496</v>
      </c>
      <c r="C31" s="34">
        <v>0</v>
      </c>
      <c r="D31" s="34"/>
      <c r="E31" s="34"/>
      <c r="F31" s="34">
        <f>SUM(B31:E31)</f>
        <v>102496</v>
      </c>
      <c r="I31" s="22"/>
    </row>
    <row r="32" spans="1:9" x14ac:dyDescent="0.25">
      <c r="A32" s="39" t="s">
        <v>17</v>
      </c>
      <c r="B32" s="4">
        <v>245944</v>
      </c>
      <c r="C32" s="12">
        <v>28946</v>
      </c>
      <c r="D32" s="5"/>
      <c r="E32" s="5"/>
      <c r="F32" s="4">
        <f>SUM(B32:E32)</f>
        <v>274890</v>
      </c>
      <c r="I32" s="22"/>
    </row>
    <row r="33" spans="1:9" x14ac:dyDescent="0.25">
      <c r="A33" s="40"/>
      <c r="B33" s="34">
        <v>245944</v>
      </c>
      <c r="C33" s="34">
        <v>0</v>
      </c>
      <c r="D33" s="34"/>
      <c r="E33" s="34"/>
      <c r="F33" s="34">
        <f>SUM(B33:E33)</f>
        <v>245944</v>
      </c>
      <c r="I33" s="22"/>
    </row>
    <row r="34" spans="1:9" x14ac:dyDescent="0.25">
      <c r="A34" s="45" t="s">
        <v>18</v>
      </c>
      <c r="B34" s="13">
        <f>+B16+B18+B20+B22+B24+B26+B28+B30+B32</f>
        <v>4362467</v>
      </c>
      <c r="C34" s="13">
        <f>+C16+C18+C20+C26+C28+C30+C32</f>
        <v>151946</v>
      </c>
      <c r="D34" s="13">
        <f t="shared" ref="D34" si="3">+D16+D18+D20+D22+D24+D26+D28+D30+D32</f>
        <v>665882</v>
      </c>
      <c r="E34" s="14">
        <f>+E28</f>
        <v>50</v>
      </c>
      <c r="F34" s="13">
        <f>+B34+C34+D34+E34</f>
        <v>5180345</v>
      </c>
      <c r="I34" s="22"/>
    </row>
    <row r="35" spans="1:9" x14ac:dyDescent="0.25">
      <c r="A35" s="46"/>
      <c r="B35" s="14">
        <f>+B17+B19+B21+B23+B25+B27+B29+B31+B33</f>
        <v>3911195</v>
      </c>
      <c r="C35" s="14">
        <f>+C17+C19+C21+C23+C25+C27+C29+C31+C33</f>
        <v>227185</v>
      </c>
      <c r="D35" s="14">
        <f>+D21</f>
        <v>332524</v>
      </c>
      <c r="E35" s="14">
        <f>+E29</f>
        <v>50</v>
      </c>
      <c r="F35" s="14">
        <f>SUM(B35:E35)</f>
        <v>4470954</v>
      </c>
      <c r="I35" s="22"/>
    </row>
    <row r="36" spans="1:9" x14ac:dyDescent="0.25">
      <c r="A36" s="45" t="s">
        <v>19</v>
      </c>
      <c r="B36" s="15">
        <f>-B34+B12</f>
        <v>144273</v>
      </c>
      <c r="C36" s="16">
        <f>+C12-C34</f>
        <v>66781</v>
      </c>
      <c r="D36" s="16">
        <f>+D12-D20</f>
        <v>148450</v>
      </c>
      <c r="E36" s="16">
        <f>-E34+E12</f>
        <v>5718</v>
      </c>
      <c r="F36" s="16">
        <f>+F12-F34</f>
        <v>1763079</v>
      </c>
      <c r="I36" s="22"/>
    </row>
    <row r="37" spans="1:9" x14ac:dyDescent="0.25">
      <c r="A37" s="46"/>
      <c r="B37" s="17">
        <f>-B35+B13</f>
        <v>1937040</v>
      </c>
      <c r="C37" s="27">
        <f>+C35</f>
        <v>227185</v>
      </c>
      <c r="D37" s="17">
        <f>-D35+D13</f>
        <v>319</v>
      </c>
      <c r="E37" s="17">
        <f>+E13-E35</f>
        <v>2128</v>
      </c>
      <c r="F37" s="17">
        <f>SUM(B37:E37)</f>
        <v>2166672</v>
      </c>
      <c r="I37" s="22"/>
    </row>
    <row r="38" spans="1:9" x14ac:dyDescent="0.25">
      <c r="A38" s="47" t="s">
        <v>20</v>
      </c>
      <c r="B38" s="18">
        <f t="shared" ref="B38:F39" si="4">+B36</f>
        <v>144273</v>
      </c>
      <c r="C38" s="18">
        <f>+C12-C34</f>
        <v>66781</v>
      </c>
      <c r="D38" s="18">
        <f t="shared" si="4"/>
        <v>148450</v>
      </c>
      <c r="E38" s="18">
        <f t="shared" si="4"/>
        <v>5718</v>
      </c>
      <c r="F38" s="18">
        <f t="shared" si="4"/>
        <v>1763079</v>
      </c>
      <c r="I38" s="22"/>
    </row>
    <row r="39" spans="1:9" x14ac:dyDescent="0.25">
      <c r="A39" s="48"/>
      <c r="B39" s="36">
        <f t="shared" si="4"/>
        <v>1937040</v>
      </c>
      <c r="C39" s="36">
        <f>+C13-C37</f>
        <v>0</v>
      </c>
      <c r="D39" s="36">
        <f t="shared" si="4"/>
        <v>319</v>
      </c>
      <c r="E39" s="36">
        <f t="shared" si="4"/>
        <v>2128</v>
      </c>
      <c r="F39" s="36">
        <f>SUM(B39:E39)</f>
        <v>1939487</v>
      </c>
      <c r="I39" s="22"/>
    </row>
    <row r="41" spans="1:9" x14ac:dyDescent="0.25">
      <c r="B41"/>
      <c r="C41"/>
      <c r="D41"/>
      <c r="E41"/>
      <c r="F41"/>
    </row>
    <row r="43" spans="1:9" x14ac:dyDescent="0.25">
      <c r="A43" s="19" t="s">
        <v>21</v>
      </c>
    </row>
    <row r="44" spans="1:9" x14ac:dyDescent="0.25">
      <c r="A44" s="19" t="s">
        <v>22</v>
      </c>
      <c r="B44" s="38">
        <f>+B9+B11-B35</f>
        <v>-71559</v>
      </c>
      <c r="C44" s="38">
        <f t="shared" ref="C44:E44" si="5">+C39-C7</f>
        <v>-346033</v>
      </c>
      <c r="D44" s="38">
        <f t="shared" si="5"/>
        <v>-8443</v>
      </c>
      <c r="E44" s="38">
        <f t="shared" si="5"/>
        <v>-12695</v>
      </c>
      <c r="F44" s="20"/>
    </row>
    <row r="45" spans="1:9" x14ac:dyDescent="0.25">
      <c r="B45" s="20"/>
      <c r="C45" s="20"/>
      <c r="D45" s="20"/>
      <c r="E45" s="20"/>
      <c r="F45" s="20"/>
    </row>
    <row r="46" spans="1:9" x14ac:dyDescent="0.25">
      <c r="B46" s="20"/>
      <c r="C46" s="20"/>
      <c r="D46" s="20"/>
      <c r="E46" s="20"/>
      <c r="F46" s="20"/>
    </row>
    <row r="47" spans="1:9" x14ac:dyDescent="0.25">
      <c r="A47" s="37" t="s">
        <v>27</v>
      </c>
      <c r="B47" s="20"/>
      <c r="C47" s="20"/>
      <c r="D47" s="20"/>
      <c r="E47" s="20"/>
      <c r="F47" s="20"/>
    </row>
    <row r="48" spans="1:9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</sheetData>
  <mergeCells count="16"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6:A7"/>
    <mergeCell ref="A8:A9"/>
    <mergeCell ref="A12:A13"/>
    <mergeCell ref="A15:F15"/>
    <mergeCell ref="A16:A17"/>
    <mergeCell ref="A18:A19"/>
  </mergeCells>
  <pageMargins left="0.75" right="0.17" top="0.45" bottom="0.3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2EB7-9917-4B3C-8BAD-D037B30372C3}">
  <dimension ref="A1:I49"/>
  <sheetViews>
    <sheetView workbookViewId="0">
      <selection activeCell="B7" sqref="B7"/>
    </sheetView>
  </sheetViews>
  <sheetFormatPr defaultRowHeight="15" x14ac:dyDescent="0.25"/>
  <cols>
    <col min="1" max="1" width="23.140625" style="19" customWidth="1"/>
    <col min="2" max="2" width="12.7109375" style="19" bestFit="1" customWidth="1"/>
    <col min="3" max="3" width="12.7109375" style="19" customWidth="1"/>
    <col min="4" max="4" width="12.140625" style="19" bestFit="1" customWidth="1"/>
    <col min="5" max="5" width="11.7109375" style="19" bestFit="1" customWidth="1"/>
    <col min="6" max="6" width="12" style="19" bestFit="1" customWidth="1"/>
    <col min="7" max="7" width="19.85546875" customWidth="1"/>
    <col min="8" max="8" width="13.28515625" style="23" bestFit="1" customWidth="1"/>
  </cols>
  <sheetData>
    <row r="1" spans="1:9" x14ac:dyDescent="0.25">
      <c r="A1" s="25" t="s">
        <v>23</v>
      </c>
    </row>
    <row r="2" spans="1:9" x14ac:dyDescent="0.25">
      <c r="A2" s="25" t="s">
        <v>29</v>
      </c>
    </row>
    <row r="3" spans="1:9" x14ac:dyDescent="0.25">
      <c r="A3" s="26">
        <v>45812</v>
      </c>
    </row>
    <row r="4" spans="1:9" ht="34.5" x14ac:dyDescent="0.25">
      <c r="A4" s="1"/>
      <c r="B4" s="1" t="s">
        <v>0</v>
      </c>
      <c r="C4" s="1" t="s">
        <v>24</v>
      </c>
      <c r="D4" s="1" t="s">
        <v>1</v>
      </c>
      <c r="E4" s="1" t="s">
        <v>2</v>
      </c>
      <c r="F4" s="1" t="s">
        <v>3</v>
      </c>
    </row>
    <row r="5" spans="1:9" x14ac:dyDescent="0.25">
      <c r="A5" s="2"/>
      <c r="B5" s="2"/>
      <c r="C5" s="2"/>
      <c r="D5" s="2"/>
      <c r="E5" s="2"/>
      <c r="F5" s="2"/>
    </row>
    <row r="6" spans="1:9" x14ac:dyDescent="0.25">
      <c r="A6" s="41" t="s">
        <v>28</v>
      </c>
      <c r="B6" s="3">
        <v>986131</v>
      </c>
      <c r="C6" s="3">
        <v>504310</v>
      </c>
      <c r="D6" s="3">
        <v>282</v>
      </c>
      <c r="E6" s="3">
        <v>6290</v>
      </c>
      <c r="F6" s="3">
        <f>SUM(B6:E6)</f>
        <v>1497013</v>
      </c>
      <c r="I6" s="22"/>
    </row>
    <row r="7" spans="1:9" x14ac:dyDescent="0.25">
      <c r="A7" s="42"/>
      <c r="B7" s="28">
        <v>1545587</v>
      </c>
      <c r="C7" s="28">
        <v>564017</v>
      </c>
      <c r="D7" s="28">
        <v>130028</v>
      </c>
      <c r="E7" s="28">
        <v>5363</v>
      </c>
      <c r="F7" s="28">
        <f>SUM(B7:E7)</f>
        <v>2244995</v>
      </c>
      <c r="G7" t="s">
        <v>30</v>
      </c>
      <c r="I7" s="22"/>
    </row>
    <row r="8" spans="1:9" x14ac:dyDescent="0.25">
      <c r="A8" s="39" t="s">
        <v>5</v>
      </c>
      <c r="B8" s="4">
        <v>3231464</v>
      </c>
      <c r="C8" s="4">
        <v>0</v>
      </c>
      <c r="D8" s="4">
        <v>333033</v>
      </c>
      <c r="E8" s="4">
        <v>40900</v>
      </c>
      <c r="F8" s="4">
        <f>+E8+D8+B8</f>
        <v>3605397</v>
      </c>
      <c r="I8" s="22"/>
    </row>
    <row r="9" spans="1:9" x14ac:dyDescent="0.25">
      <c r="A9" s="40"/>
      <c r="B9" s="29">
        <v>3516653</v>
      </c>
      <c r="C9" s="29">
        <v>0</v>
      </c>
      <c r="D9" s="29">
        <v>212809</v>
      </c>
      <c r="E9" s="29">
        <v>40900</v>
      </c>
      <c r="F9" s="29">
        <f>SUM(B9:E9)</f>
        <v>3770362</v>
      </c>
      <c r="I9" s="22"/>
    </row>
    <row r="10" spans="1:9" x14ac:dyDescent="0.25">
      <c r="A10" s="6" t="s">
        <v>6</v>
      </c>
      <c r="B10" s="4">
        <v>-10000</v>
      </c>
      <c r="C10" s="21">
        <v>0</v>
      </c>
      <c r="D10" s="12">
        <v>50000</v>
      </c>
      <c r="E10" s="21">
        <v>-40000</v>
      </c>
      <c r="F10" s="5">
        <f>SUM(B10:E10)</f>
        <v>0</v>
      </c>
      <c r="I10" s="22"/>
    </row>
    <row r="11" spans="1:9" x14ac:dyDescent="0.25">
      <c r="A11" s="7"/>
      <c r="B11" s="30">
        <f>-E11-D11-C11</f>
        <v>-10000</v>
      </c>
      <c r="C11" s="32">
        <v>0</v>
      </c>
      <c r="D11" s="31">
        <v>50000</v>
      </c>
      <c r="E11" s="32">
        <v>-40000</v>
      </c>
      <c r="F11" s="30">
        <f>SUM(B11:E11)</f>
        <v>0</v>
      </c>
      <c r="I11" s="22"/>
    </row>
    <row r="12" spans="1:9" x14ac:dyDescent="0.25">
      <c r="A12" s="43" t="s">
        <v>7</v>
      </c>
      <c r="B12" s="9">
        <v>4506740</v>
      </c>
      <c r="C12" s="9">
        <f t="shared" ref="C12:F12" si="0">+C6+C8+C10</f>
        <v>504310</v>
      </c>
      <c r="D12" s="9">
        <f t="shared" si="0"/>
        <v>383315</v>
      </c>
      <c r="E12" s="9">
        <f t="shared" si="0"/>
        <v>7190</v>
      </c>
      <c r="F12" s="9">
        <f t="shared" si="0"/>
        <v>5102410</v>
      </c>
      <c r="I12" s="22"/>
    </row>
    <row r="13" spans="1:9" x14ac:dyDescent="0.25">
      <c r="A13" s="43"/>
      <c r="B13" s="33">
        <f>+B11+B9+B7</f>
        <v>5052240</v>
      </c>
      <c r="C13" s="33">
        <f>+C7+C9+C11</f>
        <v>564017</v>
      </c>
      <c r="D13" s="33">
        <f>+D7+D9+D11</f>
        <v>392837</v>
      </c>
      <c r="E13" s="33">
        <f t="shared" ref="E13:F13" si="1">+E11+E9+E7</f>
        <v>6263</v>
      </c>
      <c r="F13" s="33">
        <f t="shared" si="1"/>
        <v>6015357</v>
      </c>
      <c r="I13" s="22"/>
    </row>
    <row r="14" spans="1:9" x14ac:dyDescent="0.25">
      <c r="A14" s="11"/>
      <c r="B14" s="11"/>
      <c r="C14" s="11"/>
      <c r="D14" s="11"/>
      <c r="E14" s="11"/>
      <c r="F14" s="11"/>
      <c r="I14" s="22"/>
    </row>
    <row r="15" spans="1:9" x14ac:dyDescent="0.25">
      <c r="A15" s="44" t="s">
        <v>8</v>
      </c>
      <c r="B15" s="44"/>
      <c r="C15" s="44"/>
      <c r="D15" s="44"/>
      <c r="E15" s="44"/>
      <c r="F15" s="44"/>
      <c r="I15" s="22"/>
    </row>
    <row r="16" spans="1:9" x14ac:dyDescent="0.25">
      <c r="A16" s="39" t="s">
        <v>9</v>
      </c>
      <c r="B16" s="12">
        <v>416654</v>
      </c>
      <c r="C16" s="12">
        <v>15000</v>
      </c>
      <c r="D16" s="12"/>
      <c r="E16" s="12"/>
      <c r="F16" s="12">
        <f t="shared" ref="F16:F27" si="2">SUM(B16:E16)</f>
        <v>431654</v>
      </c>
      <c r="I16" s="22"/>
    </row>
    <row r="17" spans="1:9" x14ac:dyDescent="0.25">
      <c r="A17" s="40"/>
      <c r="B17" s="34">
        <v>405581</v>
      </c>
      <c r="C17" s="34">
        <v>15000</v>
      </c>
      <c r="D17" s="35"/>
      <c r="E17" s="35"/>
      <c r="F17" s="34">
        <f t="shared" si="2"/>
        <v>420581</v>
      </c>
      <c r="I17" s="22"/>
    </row>
    <row r="18" spans="1:9" x14ac:dyDescent="0.25">
      <c r="A18" s="39" t="s">
        <v>10</v>
      </c>
      <c r="B18" s="12">
        <v>1383933</v>
      </c>
      <c r="C18" s="12">
        <v>162000</v>
      </c>
      <c r="D18" s="12"/>
      <c r="E18" s="12"/>
      <c r="F18" s="12">
        <f t="shared" si="2"/>
        <v>1545933</v>
      </c>
      <c r="I18" s="22"/>
    </row>
    <row r="19" spans="1:9" x14ac:dyDescent="0.25">
      <c r="A19" s="40"/>
      <c r="B19" s="34">
        <v>1330100</v>
      </c>
      <c r="C19" s="34">
        <v>162000</v>
      </c>
      <c r="D19" s="34"/>
      <c r="E19" s="34"/>
      <c r="F19" s="34">
        <f t="shared" si="2"/>
        <v>1492100</v>
      </c>
      <c r="I19" s="22"/>
    </row>
    <row r="20" spans="1:9" x14ac:dyDescent="0.25">
      <c r="A20" s="39" t="s">
        <v>11</v>
      </c>
      <c r="B20" s="12">
        <v>201384</v>
      </c>
      <c r="C20" s="12">
        <v>35000</v>
      </c>
      <c r="D20" s="12">
        <v>383315</v>
      </c>
      <c r="E20" s="12"/>
      <c r="F20" s="12">
        <f t="shared" si="2"/>
        <v>619699</v>
      </c>
      <c r="I20" s="22"/>
    </row>
    <row r="21" spans="1:9" x14ac:dyDescent="0.25">
      <c r="A21" s="40"/>
      <c r="B21" s="34">
        <f>232871-50000</f>
        <v>182871</v>
      </c>
      <c r="C21" s="34">
        <v>35000</v>
      </c>
      <c r="D21" s="34">
        <v>244255</v>
      </c>
      <c r="E21" s="34"/>
      <c r="F21" s="34">
        <f t="shared" si="2"/>
        <v>462126</v>
      </c>
      <c r="H21"/>
    </row>
    <row r="22" spans="1:9" x14ac:dyDescent="0.25">
      <c r="A22" s="39" t="s">
        <v>12</v>
      </c>
      <c r="B22" s="12">
        <v>35672</v>
      </c>
      <c r="C22" s="12"/>
      <c r="D22" s="12"/>
      <c r="E22" s="12"/>
      <c r="F22" s="8">
        <f t="shared" si="2"/>
        <v>35672</v>
      </c>
      <c r="H22"/>
    </row>
    <row r="23" spans="1:9" x14ac:dyDescent="0.25">
      <c r="A23" s="40"/>
      <c r="B23" s="34">
        <v>35982</v>
      </c>
      <c r="C23" s="35"/>
      <c r="D23" s="35"/>
      <c r="E23" s="35"/>
      <c r="F23" s="34">
        <f t="shared" si="2"/>
        <v>35982</v>
      </c>
      <c r="H23"/>
    </row>
    <row r="24" spans="1:9" x14ac:dyDescent="0.25">
      <c r="A24" s="39" t="s">
        <v>13</v>
      </c>
      <c r="B24" s="12">
        <v>267900</v>
      </c>
      <c r="C24" s="8"/>
      <c r="D24" s="8"/>
      <c r="E24" s="8"/>
      <c r="F24" s="12">
        <f t="shared" si="2"/>
        <v>267900</v>
      </c>
      <c r="H24"/>
    </row>
    <row r="25" spans="1:9" x14ac:dyDescent="0.25">
      <c r="A25" s="40"/>
      <c r="B25" s="34">
        <v>264000</v>
      </c>
      <c r="C25" s="34"/>
      <c r="D25" s="34"/>
      <c r="E25" s="34"/>
      <c r="F25" s="34">
        <f t="shared" si="2"/>
        <v>264000</v>
      </c>
      <c r="H25"/>
    </row>
    <row r="26" spans="1:9" x14ac:dyDescent="0.25">
      <c r="A26" s="39" t="s">
        <v>14</v>
      </c>
      <c r="B26" s="12">
        <v>757531</v>
      </c>
      <c r="C26" s="12">
        <v>25000</v>
      </c>
      <c r="D26" s="12"/>
      <c r="E26" s="12"/>
      <c r="F26" s="12">
        <f t="shared" si="2"/>
        <v>782531</v>
      </c>
      <c r="H26"/>
    </row>
    <row r="27" spans="1:9" x14ac:dyDescent="0.25">
      <c r="A27" s="40"/>
      <c r="B27" s="34">
        <f>117173+523000</f>
        <v>640173</v>
      </c>
      <c r="C27" s="34">
        <v>25000</v>
      </c>
      <c r="D27" s="34"/>
      <c r="E27" s="34"/>
      <c r="F27" s="34">
        <f t="shared" si="2"/>
        <v>665173</v>
      </c>
      <c r="I27" s="22"/>
    </row>
    <row r="28" spans="1:9" x14ac:dyDescent="0.25">
      <c r="A28" s="39" t="s">
        <v>15</v>
      </c>
      <c r="B28" s="4">
        <v>166047</v>
      </c>
      <c r="C28" s="12">
        <v>12788</v>
      </c>
      <c r="D28" s="5"/>
      <c r="E28" s="4">
        <v>50</v>
      </c>
      <c r="F28" s="4">
        <f>+E28+B28</f>
        <v>166097</v>
      </c>
      <c r="I28" s="22"/>
    </row>
    <row r="29" spans="1:9" x14ac:dyDescent="0.25">
      <c r="A29" s="40"/>
      <c r="B29" s="34">
        <v>139209</v>
      </c>
      <c r="C29" s="34">
        <v>12788</v>
      </c>
      <c r="D29" s="34"/>
      <c r="E29" s="34">
        <v>50</v>
      </c>
      <c r="F29" s="34">
        <f>SUM(B29:E29)</f>
        <v>152047</v>
      </c>
      <c r="I29" s="22"/>
    </row>
    <row r="30" spans="1:9" x14ac:dyDescent="0.25">
      <c r="A30" s="39" t="s">
        <v>16</v>
      </c>
      <c r="B30" s="4">
        <v>102077</v>
      </c>
      <c r="C30" s="12">
        <f>11660+11000</f>
        <v>22660</v>
      </c>
      <c r="D30" s="5"/>
      <c r="E30" s="5"/>
      <c r="F30" s="4">
        <f>SUM(B30:E30)</f>
        <v>124737</v>
      </c>
      <c r="I30" s="22"/>
    </row>
    <row r="31" spans="1:9" x14ac:dyDescent="0.25">
      <c r="A31" s="40"/>
      <c r="B31" s="34">
        <v>115462</v>
      </c>
      <c r="C31" s="34">
        <v>22660</v>
      </c>
      <c r="D31" s="34"/>
      <c r="E31" s="34"/>
      <c r="F31" s="34">
        <f>SUM(B31:E31)</f>
        <v>138122</v>
      </c>
      <c r="I31" s="22"/>
    </row>
    <row r="32" spans="1:9" x14ac:dyDescent="0.25">
      <c r="A32" s="39" t="s">
        <v>17</v>
      </c>
      <c r="B32" s="4">
        <v>189411</v>
      </c>
      <c r="C32" s="12">
        <v>72842</v>
      </c>
      <c r="D32" s="5"/>
      <c r="E32" s="5"/>
      <c r="F32" s="4">
        <f>SUM(B32:E32)</f>
        <v>262253</v>
      </c>
      <c r="I32" s="22"/>
    </row>
    <row r="33" spans="1:9" x14ac:dyDescent="0.25">
      <c r="A33" s="40"/>
      <c r="B33" s="34">
        <v>207601</v>
      </c>
      <c r="C33" s="34">
        <v>72842</v>
      </c>
      <c r="D33" s="34"/>
      <c r="E33" s="34"/>
      <c r="F33" s="34">
        <f>SUM(B33:E33)</f>
        <v>280443</v>
      </c>
      <c r="I33" s="22"/>
    </row>
    <row r="34" spans="1:9" x14ac:dyDescent="0.25">
      <c r="A34" s="45" t="s">
        <v>18</v>
      </c>
      <c r="B34" s="13">
        <f>+B16+B18+B20+B22+B24+B26+B28+B30+B32</f>
        <v>3520609</v>
      </c>
      <c r="C34" s="13">
        <f>+C16+C18+C20+C26+C28+C30+C32</f>
        <v>345290</v>
      </c>
      <c r="D34" s="13">
        <f t="shared" ref="D34" si="3">+D16+D18+D20+D22+D24+D26+D28+D30+D32</f>
        <v>383315</v>
      </c>
      <c r="E34" s="14">
        <f>+E28</f>
        <v>50</v>
      </c>
      <c r="F34" s="13">
        <f>+B34+C34+D34+E34</f>
        <v>4249264</v>
      </c>
      <c r="I34" s="22"/>
    </row>
    <row r="35" spans="1:9" x14ac:dyDescent="0.25">
      <c r="A35" s="46"/>
      <c r="B35" s="14">
        <f>+B17+B19+B21+B23+B25+B27+B29+B31+B33</f>
        <v>3320979</v>
      </c>
      <c r="C35" s="14">
        <f>+C17+C19+C21+C23+C25+C27+C29+C31+C33</f>
        <v>345290</v>
      </c>
      <c r="D35" s="14">
        <f>+D21</f>
        <v>244255</v>
      </c>
      <c r="E35" s="14">
        <f>+E29</f>
        <v>50</v>
      </c>
      <c r="F35" s="14">
        <f>SUM(B35:E35)</f>
        <v>3910574</v>
      </c>
      <c r="I35" s="22"/>
    </row>
    <row r="36" spans="1:9" x14ac:dyDescent="0.25">
      <c r="A36" s="45" t="s">
        <v>19</v>
      </c>
      <c r="B36" s="15">
        <f>-B34+B12</f>
        <v>986131</v>
      </c>
      <c r="C36" s="16">
        <f>+C12-C34</f>
        <v>159020</v>
      </c>
      <c r="D36" s="16">
        <f>+D12-D20</f>
        <v>0</v>
      </c>
      <c r="E36" s="16">
        <f>-E34+E12</f>
        <v>7140</v>
      </c>
      <c r="F36" s="16">
        <f>+F12-F34</f>
        <v>853146</v>
      </c>
      <c r="I36" s="22"/>
    </row>
    <row r="37" spans="1:9" x14ac:dyDescent="0.25">
      <c r="A37" s="46"/>
      <c r="B37" s="17">
        <f>-B35+B13</f>
        <v>1731261</v>
      </c>
      <c r="C37" s="27">
        <f>+C35</f>
        <v>345290</v>
      </c>
      <c r="D37" s="17">
        <f>-D35+D13</f>
        <v>148582</v>
      </c>
      <c r="E37" s="17">
        <f>+E13-E35</f>
        <v>6213</v>
      </c>
      <c r="F37" s="17">
        <f>SUM(B37:E37)</f>
        <v>2231346</v>
      </c>
      <c r="I37" s="22"/>
    </row>
    <row r="38" spans="1:9" x14ac:dyDescent="0.25">
      <c r="A38" s="47" t="s">
        <v>20</v>
      </c>
      <c r="B38" s="18">
        <f t="shared" ref="B38:F39" si="4">+B36</f>
        <v>986131</v>
      </c>
      <c r="C38" s="18">
        <f>+C12-C34</f>
        <v>159020</v>
      </c>
      <c r="D38" s="18">
        <f t="shared" si="4"/>
        <v>0</v>
      </c>
      <c r="E38" s="18">
        <f t="shared" si="4"/>
        <v>7140</v>
      </c>
      <c r="F38" s="18">
        <f t="shared" si="4"/>
        <v>853146</v>
      </c>
      <c r="I38" s="22"/>
    </row>
    <row r="39" spans="1:9" x14ac:dyDescent="0.25">
      <c r="A39" s="48"/>
      <c r="B39" s="36">
        <f t="shared" si="4"/>
        <v>1731261</v>
      </c>
      <c r="C39" s="36">
        <f>+C13-C37</f>
        <v>218727</v>
      </c>
      <c r="D39" s="36">
        <f t="shared" si="4"/>
        <v>148582</v>
      </c>
      <c r="E39" s="36">
        <f t="shared" si="4"/>
        <v>6213</v>
      </c>
      <c r="F39" s="36">
        <f>SUM(B39:E39)</f>
        <v>2104783</v>
      </c>
      <c r="I39" s="22"/>
    </row>
    <row r="41" spans="1:9" x14ac:dyDescent="0.25">
      <c r="B41"/>
      <c r="C41"/>
      <c r="D41"/>
      <c r="E41"/>
      <c r="F41"/>
    </row>
    <row r="43" spans="1:9" x14ac:dyDescent="0.25">
      <c r="A43" s="19" t="s">
        <v>21</v>
      </c>
    </row>
    <row r="44" spans="1:9" x14ac:dyDescent="0.25">
      <c r="A44" s="19" t="s">
        <v>22</v>
      </c>
      <c r="B44" s="38">
        <f>+B9+B11-B35</f>
        <v>185674</v>
      </c>
      <c r="C44" s="38">
        <f t="shared" ref="C44:E44" si="5">+C39-C7</f>
        <v>-345290</v>
      </c>
      <c r="D44" s="38">
        <f t="shared" si="5"/>
        <v>18554</v>
      </c>
      <c r="E44" s="38">
        <f t="shared" si="5"/>
        <v>850</v>
      </c>
      <c r="F44" s="20"/>
    </row>
    <row r="45" spans="1:9" x14ac:dyDescent="0.25">
      <c r="B45" s="20"/>
      <c r="C45" s="20"/>
      <c r="D45" s="20"/>
      <c r="E45" s="20"/>
      <c r="F45" s="20"/>
    </row>
    <row r="46" spans="1:9" x14ac:dyDescent="0.25">
      <c r="B46" s="20"/>
      <c r="C46" s="20"/>
      <c r="D46" s="20"/>
      <c r="E46" s="20"/>
      <c r="F46" s="20"/>
    </row>
    <row r="47" spans="1:9" x14ac:dyDescent="0.25">
      <c r="A47" s="37" t="s">
        <v>27</v>
      </c>
      <c r="B47" s="20"/>
      <c r="C47" s="20"/>
      <c r="D47" s="20"/>
      <c r="E47" s="20"/>
      <c r="F47" s="20"/>
    </row>
    <row r="48" spans="1:9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</sheetData>
  <mergeCells count="16"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18:A19"/>
    <mergeCell ref="A6:A7"/>
    <mergeCell ref="A8:A9"/>
    <mergeCell ref="A12:A13"/>
    <mergeCell ref="A15:F15"/>
    <mergeCell ref="A16:A17"/>
  </mergeCells>
  <pageMargins left="0.75" right="0.17" top="0.45" bottom="0.3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3211-2554-4EBD-B2EB-1BD556CE251A}">
  <dimension ref="A1:I49"/>
  <sheetViews>
    <sheetView workbookViewId="0">
      <selection activeCell="C42" sqref="C42"/>
    </sheetView>
  </sheetViews>
  <sheetFormatPr defaultRowHeight="15" x14ac:dyDescent="0.25"/>
  <cols>
    <col min="1" max="1" width="23.140625" style="19" customWidth="1"/>
    <col min="2" max="2" width="12.7109375" style="19" bestFit="1" customWidth="1"/>
    <col min="3" max="3" width="12.7109375" style="19" customWidth="1"/>
    <col min="4" max="4" width="12.140625" style="19" bestFit="1" customWidth="1"/>
    <col min="5" max="5" width="11.7109375" style="19" bestFit="1" customWidth="1"/>
    <col min="6" max="6" width="12" style="19" bestFit="1" customWidth="1"/>
    <col min="7" max="7" width="19.85546875" customWidth="1"/>
    <col min="8" max="8" width="13.28515625" style="23" bestFit="1" customWidth="1"/>
  </cols>
  <sheetData>
    <row r="1" spans="1:9" x14ac:dyDescent="0.25">
      <c r="A1" s="25" t="s">
        <v>23</v>
      </c>
    </row>
    <row r="2" spans="1:9" x14ac:dyDescent="0.25">
      <c r="A2" s="25" t="s">
        <v>26</v>
      </c>
    </row>
    <row r="3" spans="1:9" x14ac:dyDescent="0.25">
      <c r="A3" s="26">
        <v>45448</v>
      </c>
    </row>
    <row r="4" spans="1:9" ht="34.5" x14ac:dyDescent="0.25">
      <c r="A4" s="1"/>
      <c r="B4" s="1" t="s">
        <v>0</v>
      </c>
      <c r="C4" s="1" t="s">
        <v>24</v>
      </c>
      <c r="D4" s="1" t="s">
        <v>1</v>
      </c>
      <c r="E4" s="1" t="s">
        <v>2</v>
      </c>
      <c r="F4" s="1" t="s">
        <v>3</v>
      </c>
    </row>
    <row r="5" spans="1:9" x14ac:dyDescent="0.25">
      <c r="A5" s="2"/>
      <c r="B5" s="2"/>
      <c r="C5" s="2"/>
      <c r="D5" s="2"/>
      <c r="E5" s="2"/>
      <c r="F5" s="2"/>
    </row>
    <row r="6" spans="1:9" x14ac:dyDescent="0.25">
      <c r="A6" s="41" t="s">
        <v>28</v>
      </c>
      <c r="B6" s="3">
        <v>739239</v>
      </c>
      <c r="C6" s="3">
        <f>472020+175682</f>
        <v>647702</v>
      </c>
      <c r="D6" s="3">
        <v>7906</v>
      </c>
      <c r="E6" s="3">
        <v>4905</v>
      </c>
      <c r="F6" s="3">
        <f>SUM(B6:E6)</f>
        <v>1399752</v>
      </c>
      <c r="I6" s="22"/>
    </row>
    <row r="7" spans="1:9" x14ac:dyDescent="0.25">
      <c r="A7" s="42"/>
      <c r="B7" s="28">
        <f>1360337-320250</f>
        <v>1040087</v>
      </c>
      <c r="C7" s="28">
        <f>506380+320250</f>
        <v>826630</v>
      </c>
      <c r="D7" s="28">
        <v>-3242</v>
      </c>
      <c r="E7" s="28">
        <v>6290</v>
      </c>
      <c r="F7" s="28">
        <f>SUM(B7:E7)</f>
        <v>1869765</v>
      </c>
      <c r="I7" s="22"/>
    </row>
    <row r="8" spans="1:9" x14ac:dyDescent="0.25">
      <c r="A8" s="39" t="s">
        <v>5</v>
      </c>
      <c r="B8" s="4">
        <v>3231464</v>
      </c>
      <c r="C8" s="4">
        <v>0</v>
      </c>
      <c r="D8" s="4">
        <v>91000</v>
      </c>
      <c r="E8" s="4">
        <v>40900</v>
      </c>
      <c r="F8" s="4">
        <f>+E8+D8+B8</f>
        <v>3363364</v>
      </c>
      <c r="I8" s="22"/>
    </row>
    <row r="9" spans="1:9" x14ac:dyDescent="0.25">
      <c r="A9" s="40"/>
      <c r="B9" s="29">
        <f>3557005-335540-40000</f>
        <v>3181465</v>
      </c>
      <c r="C9" s="29">
        <v>13220</v>
      </c>
      <c r="D9" s="29">
        <v>371180</v>
      </c>
      <c r="E9" s="29">
        <v>40900</v>
      </c>
      <c r="F9" s="29">
        <f>SUM(B9:E9)</f>
        <v>3606765</v>
      </c>
      <c r="I9" s="22"/>
    </row>
    <row r="10" spans="1:9" x14ac:dyDescent="0.25">
      <c r="A10" s="6" t="s">
        <v>6</v>
      </c>
      <c r="B10" s="4">
        <v>-10000</v>
      </c>
      <c r="C10" s="21">
        <v>0</v>
      </c>
      <c r="D10" s="12">
        <v>50000</v>
      </c>
      <c r="E10" s="21">
        <v>-40000</v>
      </c>
      <c r="F10" s="5">
        <f>SUM(B10:E10)</f>
        <v>0</v>
      </c>
      <c r="I10" s="22"/>
    </row>
    <row r="11" spans="1:9" x14ac:dyDescent="0.25">
      <c r="A11" s="7"/>
      <c r="B11" s="30">
        <f>-E11-D11-C11</f>
        <v>139514</v>
      </c>
      <c r="C11" s="32">
        <v>-149514</v>
      </c>
      <c r="D11" s="31">
        <v>50000</v>
      </c>
      <c r="E11" s="32">
        <v>-40000</v>
      </c>
      <c r="F11" s="30">
        <f>SUM(B11:E11)</f>
        <v>0</v>
      </c>
      <c r="I11" s="22"/>
    </row>
    <row r="12" spans="1:9" x14ac:dyDescent="0.25">
      <c r="A12" s="43" t="s">
        <v>7</v>
      </c>
      <c r="B12" s="9">
        <f>+B6+B8+B10</f>
        <v>3960703</v>
      </c>
      <c r="C12" s="10">
        <f t="shared" ref="C12:F12" si="0">+C6+C8+C10</f>
        <v>647702</v>
      </c>
      <c r="D12" s="9">
        <f t="shared" si="0"/>
        <v>148906</v>
      </c>
      <c r="E12" s="9">
        <f t="shared" si="0"/>
        <v>5805</v>
      </c>
      <c r="F12" s="9">
        <f t="shared" si="0"/>
        <v>4763116</v>
      </c>
      <c r="I12" s="22"/>
    </row>
    <row r="13" spans="1:9" x14ac:dyDescent="0.25">
      <c r="A13" s="43"/>
      <c r="B13" s="33">
        <f>+B11+B9+B7</f>
        <v>4361066</v>
      </c>
      <c r="C13" s="33">
        <f>+C7+C9+C11</f>
        <v>690336</v>
      </c>
      <c r="D13" s="33">
        <f>+D7+D9+D11</f>
        <v>417938</v>
      </c>
      <c r="E13" s="33">
        <f t="shared" ref="E13:F13" si="1">+E11+E9+E7</f>
        <v>7190</v>
      </c>
      <c r="F13" s="33">
        <f t="shared" si="1"/>
        <v>5476530</v>
      </c>
      <c r="I13" s="22"/>
    </row>
    <row r="14" spans="1:9" x14ac:dyDescent="0.25">
      <c r="A14" s="11"/>
      <c r="B14" s="11"/>
      <c r="C14" s="11"/>
      <c r="D14" s="11"/>
      <c r="E14" s="11"/>
      <c r="F14" s="11"/>
      <c r="I14" s="22"/>
    </row>
    <row r="15" spans="1:9" x14ac:dyDescent="0.25">
      <c r="A15" s="44" t="s">
        <v>8</v>
      </c>
      <c r="B15" s="44"/>
      <c r="C15" s="44"/>
      <c r="D15" s="44"/>
      <c r="E15" s="44"/>
      <c r="F15" s="44"/>
      <c r="I15" s="22"/>
    </row>
    <row r="16" spans="1:9" x14ac:dyDescent="0.25">
      <c r="A16" s="39" t="s">
        <v>9</v>
      </c>
      <c r="B16" s="12">
        <v>405581</v>
      </c>
      <c r="C16" s="12"/>
      <c r="D16" s="12"/>
      <c r="E16" s="12"/>
      <c r="F16" s="12">
        <f t="shared" ref="F16:F27" si="2">SUM(B16:E16)</f>
        <v>405581</v>
      </c>
      <c r="I16" s="22"/>
    </row>
    <row r="17" spans="1:9" x14ac:dyDescent="0.25">
      <c r="A17" s="40"/>
      <c r="B17" s="34">
        <v>405581</v>
      </c>
      <c r="C17" s="34"/>
      <c r="D17" s="35"/>
      <c r="E17" s="35"/>
      <c r="F17" s="34">
        <f t="shared" si="2"/>
        <v>405581</v>
      </c>
      <c r="I17" s="22"/>
    </row>
    <row r="18" spans="1:9" x14ac:dyDescent="0.25">
      <c r="A18" s="39" t="s">
        <v>10</v>
      </c>
      <c r="B18" s="12">
        <v>1232535</v>
      </c>
      <c r="C18" s="12">
        <v>22000</v>
      </c>
      <c r="D18" s="12"/>
      <c r="E18" s="12"/>
      <c r="F18" s="12">
        <f t="shared" si="2"/>
        <v>1254535</v>
      </c>
      <c r="I18" s="22"/>
    </row>
    <row r="19" spans="1:9" x14ac:dyDescent="0.25">
      <c r="A19" s="40"/>
      <c r="B19" s="34">
        <v>1330100</v>
      </c>
      <c r="C19" s="34"/>
      <c r="D19" s="34"/>
      <c r="E19" s="34"/>
      <c r="F19" s="34">
        <f t="shared" si="2"/>
        <v>1330100</v>
      </c>
      <c r="I19" s="22"/>
    </row>
    <row r="20" spans="1:9" x14ac:dyDescent="0.25">
      <c r="A20" s="39" t="s">
        <v>11</v>
      </c>
      <c r="B20" s="12">
        <f>243871</f>
        <v>243871</v>
      </c>
      <c r="C20" s="12">
        <v>192000</v>
      </c>
      <c r="D20" s="12">
        <v>137656</v>
      </c>
      <c r="E20" s="12"/>
      <c r="F20" s="12">
        <f t="shared" si="2"/>
        <v>573527</v>
      </c>
      <c r="I20" s="22"/>
    </row>
    <row r="21" spans="1:9" x14ac:dyDescent="0.25">
      <c r="A21" s="40"/>
      <c r="B21" s="34">
        <f>232871-50000</f>
        <v>182871</v>
      </c>
      <c r="C21" s="34">
        <v>0</v>
      </c>
      <c r="D21" s="34">
        <f>667656-250000</f>
        <v>417656</v>
      </c>
      <c r="E21" s="34"/>
      <c r="F21" s="34">
        <f t="shared" si="2"/>
        <v>600527</v>
      </c>
      <c r="H21"/>
    </row>
    <row r="22" spans="1:9" x14ac:dyDescent="0.25">
      <c r="A22" s="39" t="s">
        <v>12</v>
      </c>
      <c r="B22" s="12">
        <v>32882</v>
      </c>
      <c r="C22" s="12"/>
      <c r="D22" s="12"/>
      <c r="E22" s="12"/>
      <c r="F22" s="8">
        <f t="shared" si="2"/>
        <v>32882</v>
      </c>
      <c r="H22"/>
    </row>
    <row r="23" spans="1:9" x14ac:dyDescent="0.25">
      <c r="A23" s="40"/>
      <c r="B23" s="34">
        <v>35982</v>
      </c>
      <c r="C23" s="35"/>
      <c r="D23" s="35"/>
      <c r="E23" s="35"/>
      <c r="F23" s="34">
        <f t="shared" si="2"/>
        <v>35982</v>
      </c>
      <c r="H23"/>
    </row>
    <row r="24" spans="1:9" x14ac:dyDescent="0.25">
      <c r="A24" s="39" t="s">
        <v>13</v>
      </c>
      <c r="B24" s="12">
        <v>195000</v>
      </c>
      <c r="C24" s="8"/>
      <c r="D24" s="8"/>
      <c r="E24" s="8"/>
      <c r="F24" s="12">
        <f t="shared" si="2"/>
        <v>195000</v>
      </c>
      <c r="H24"/>
    </row>
    <row r="25" spans="1:9" x14ac:dyDescent="0.25">
      <c r="A25" s="40"/>
      <c r="B25" s="34">
        <v>264000</v>
      </c>
      <c r="C25" s="34"/>
      <c r="D25" s="34"/>
      <c r="E25" s="34"/>
      <c r="F25" s="34">
        <f t="shared" si="2"/>
        <v>264000</v>
      </c>
      <c r="H25"/>
    </row>
    <row r="26" spans="1:9" x14ac:dyDescent="0.25">
      <c r="A26" s="39" t="s">
        <v>14</v>
      </c>
      <c r="B26" s="12">
        <f>110673+523000</f>
        <v>633673</v>
      </c>
      <c r="C26" s="12">
        <v>26140</v>
      </c>
      <c r="D26" s="12"/>
      <c r="E26" s="12"/>
      <c r="F26" s="12">
        <f t="shared" si="2"/>
        <v>659813</v>
      </c>
      <c r="H26"/>
    </row>
    <row r="27" spans="1:9" x14ac:dyDescent="0.25">
      <c r="A27" s="40"/>
      <c r="B27" s="34">
        <f>117173+523000</f>
        <v>640173</v>
      </c>
      <c r="C27" s="34">
        <v>0</v>
      </c>
      <c r="D27" s="34"/>
      <c r="E27" s="34"/>
      <c r="F27" s="34">
        <f t="shared" si="2"/>
        <v>640173</v>
      </c>
      <c r="I27" s="22"/>
    </row>
    <row r="28" spans="1:9" x14ac:dyDescent="0.25">
      <c r="A28" s="39" t="s">
        <v>15</v>
      </c>
      <c r="B28" s="4">
        <v>161209</v>
      </c>
      <c r="C28" s="4"/>
      <c r="D28" s="5"/>
      <c r="E28" s="4">
        <v>50</v>
      </c>
      <c r="F28" s="4">
        <f>+E28+B28</f>
        <v>161259</v>
      </c>
      <c r="I28" s="22"/>
    </row>
    <row r="29" spans="1:9" x14ac:dyDescent="0.25">
      <c r="A29" s="40"/>
      <c r="B29" s="34">
        <v>139209</v>
      </c>
      <c r="C29" s="34"/>
      <c r="D29" s="34"/>
      <c r="E29" s="34">
        <v>50</v>
      </c>
      <c r="F29" s="34">
        <f>SUM(B29:E29)</f>
        <v>139259</v>
      </c>
      <c r="I29" s="22"/>
    </row>
    <row r="30" spans="1:9" x14ac:dyDescent="0.25">
      <c r="A30" s="39" t="s">
        <v>16</v>
      </c>
      <c r="B30" s="4">
        <v>106462</v>
      </c>
      <c r="C30" s="12">
        <v>95400</v>
      </c>
      <c r="D30" s="5"/>
      <c r="E30" s="5"/>
      <c r="F30" s="4">
        <f>SUM(B30:E30)</f>
        <v>201862</v>
      </c>
      <c r="I30" s="22"/>
    </row>
    <row r="31" spans="1:9" x14ac:dyDescent="0.25">
      <c r="A31" s="40"/>
      <c r="B31" s="34">
        <v>115462</v>
      </c>
      <c r="C31" s="34"/>
      <c r="D31" s="34"/>
      <c r="E31" s="34"/>
      <c r="F31" s="34">
        <f>SUM(B31:E31)</f>
        <v>115462</v>
      </c>
      <c r="I31" s="22"/>
    </row>
    <row r="32" spans="1:9" x14ac:dyDescent="0.25">
      <c r="A32" s="39" t="s">
        <v>17</v>
      </c>
      <c r="B32" s="4">
        <v>178601</v>
      </c>
      <c r="C32" s="5"/>
      <c r="D32" s="5"/>
      <c r="E32" s="5"/>
      <c r="F32" s="4">
        <f>SUM(B32:E32)</f>
        <v>178601</v>
      </c>
      <c r="I32" s="22"/>
    </row>
    <row r="33" spans="1:9" x14ac:dyDescent="0.25">
      <c r="A33" s="40"/>
      <c r="B33" s="34">
        <v>207601</v>
      </c>
      <c r="C33" s="34"/>
      <c r="D33" s="34"/>
      <c r="E33" s="34"/>
      <c r="F33" s="34">
        <f>SUM(B33:E33)</f>
        <v>207601</v>
      </c>
      <c r="I33" s="22"/>
    </row>
    <row r="34" spans="1:9" x14ac:dyDescent="0.25">
      <c r="A34" s="45" t="s">
        <v>18</v>
      </c>
      <c r="B34" s="13">
        <f>+B16+B18+B20+B22+B24+B26+B28+B30+B32</f>
        <v>3189814</v>
      </c>
      <c r="C34" s="13">
        <f>+C18+C20+C26+C30</f>
        <v>335540</v>
      </c>
      <c r="D34" s="13">
        <f t="shared" ref="D34" si="3">+D16+D18+D20+D22+D24+D26+D28+D30+D32</f>
        <v>137656</v>
      </c>
      <c r="E34" s="14">
        <f>+E28</f>
        <v>50</v>
      </c>
      <c r="F34" s="13">
        <f>+B34+C34+D34+E34</f>
        <v>3663060</v>
      </c>
      <c r="I34" s="22"/>
    </row>
    <row r="35" spans="1:9" x14ac:dyDescent="0.25">
      <c r="A35" s="46"/>
      <c r="B35" s="14">
        <f>+B17+B19+B21+B23+B25+B27+B29+B31+B33</f>
        <v>3320979</v>
      </c>
      <c r="C35" s="14">
        <v>335540</v>
      </c>
      <c r="D35" s="14">
        <f>+D21</f>
        <v>417656</v>
      </c>
      <c r="E35" s="14">
        <f>+E29</f>
        <v>50</v>
      </c>
      <c r="F35" s="14">
        <f>SUM(B35:E35)</f>
        <v>4074225</v>
      </c>
      <c r="I35" s="22"/>
    </row>
    <row r="36" spans="1:9" x14ac:dyDescent="0.25">
      <c r="A36" s="45" t="s">
        <v>19</v>
      </c>
      <c r="B36" s="15">
        <f>-B34+B12</f>
        <v>770889</v>
      </c>
      <c r="C36" s="16">
        <f>+C12-C34</f>
        <v>312162</v>
      </c>
      <c r="D36" s="16">
        <f>+D12-D20</f>
        <v>11250</v>
      </c>
      <c r="E36" s="16">
        <f>-E34+E12</f>
        <v>5755</v>
      </c>
      <c r="F36" s="16">
        <f>+F12-F34</f>
        <v>1100056</v>
      </c>
      <c r="I36" s="22"/>
    </row>
    <row r="37" spans="1:9" x14ac:dyDescent="0.25">
      <c r="A37" s="46"/>
      <c r="B37" s="17">
        <f>-B35+B13</f>
        <v>1040087</v>
      </c>
      <c r="C37" s="27">
        <f>+C35</f>
        <v>335540</v>
      </c>
      <c r="D37" s="17">
        <f>-D35+D13</f>
        <v>282</v>
      </c>
      <c r="E37" s="17">
        <f>+E13-E35</f>
        <v>7140</v>
      </c>
      <c r="F37" s="17">
        <f>SUM(B37:E37)</f>
        <v>1383049</v>
      </c>
      <c r="I37" s="22"/>
    </row>
    <row r="38" spans="1:9" x14ac:dyDescent="0.25">
      <c r="A38" s="47" t="s">
        <v>20</v>
      </c>
      <c r="B38" s="18">
        <f t="shared" ref="B38:F39" si="4">+B36</f>
        <v>770889</v>
      </c>
      <c r="C38" s="18">
        <f>+C12-C34</f>
        <v>312162</v>
      </c>
      <c r="D38" s="18">
        <f t="shared" si="4"/>
        <v>11250</v>
      </c>
      <c r="E38" s="18">
        <f t="shared" si="4"/>
        <v>5755</v>
      </c>
      <c r="F38" s="18">
        <f t="shared" si="4"/>
        <v>1100056</v>
      </c>
      <c r="I38" s="22"/>
    </row>
    <row r="39" spans="1:9" x14ac:dyDescent="0.25">
      <c r="A39" s="48"/>
      <c r="B39" s="36">
        <f t="shared" si="4"/>
        <v>1040087</v>
      </c>
      <c r="C39" s="36">
        <f>+C13-C37</f>
        <v>354796</v>
      </c>
      <c r="D39" s="36">
        <f t="shared" si="4"/>
        <v>282</v>
      </c>
      <c r="E39" s="36">
        <f t="shared" si="4"/>
        <v>7140</v>
      </c>
      <c r="F39" s="36">
        <f>SUM(B39:E39)</f>
        <v>1402305</v>
      </c>
      <c r="I39" s="22"/>
    </row>
    <row r="41" spans="1:9" x14ac:dyDescent="0.25">
      <c r="B41"/>
      <c r="C41"/>
      <c r="D41"/>
      <c r="E41"/>
      <c r="F41"/>
    </row>
    <row r="43" spans="1:9" x14ac:dyDescent="0.25">
      <c r="A43" s="19" t="s">
        <v>21</v>
      </c>
    </row>
    <row r="44" spans="1:9" x14ac:dyDescent="0.25">
      <c r="A44" s="19" t="s">
        <v>22</v>
      </c>
      <c r="B44" s="38">
        <f>+B9+B11-B35</f>
        <v>0</v>
      </c>
      <c r="C44" s="38">
        <f t="shared" ref="C44:E44" si="5">+C39-C7</f>
        <v>-471834</v>
      </c>
      <c r="D44" s="38">
        <f t="shared" si="5"/>
        <v>3524</v>
      </c>
      <c r="E44" s="38">
        <f t="shared" si="5"/>
        <v>850</v>
      </c>
      <c r="F44" s="20"/>
    </row>
    <row r="45" spans="1:9" x14ac:dyDescent="0.25">
      <c r="B45" s="20"/>
      <c r="C45" s="20"/>
      <c r="D45" s="20"/>
      <c r="E45" s="20"/>
      <c r="F45" s="20"/>
    </row>
    <row r="46" spans="1:9" x14ac:dyDescent="0.25">
      <c r="B46" s="20"/>
      <c r="C46" s="20"/>
      <c r="D46" s="20"/>
      <c r="E46" s="20"/>
      <c r="F46" s="20"/>
    </row>
    <row r="47" spans="1:9" x14ac:dyDescent="0.25">
      <c r="A47" s="37" t="s">
        <v>27</v>
      </c>
      <c r="B47" s="20"/>
      <c r="C47" s="20"/>
      <c r="D47" s="20"/>
      <c r="E47" s="20"/>
      <c r="F47" s="20"/>
    </row>
    <row r="48" spans="1:9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</sheetData>
  <mergeCells count="16">
    <mergeCell ref="A18:A19"/>
    <mergeCell ref="A6:A7"/>
    <mergeCell ref="A8:A9"/>
    <mergeCell ref="A12:A13"/>
    <mergeCell ref="A15:F15"/>
    <mergeCell ref="A16:A17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</mergeCells>
  <pageMargins left="0.75" right="0.17" top="0.45" bottom="0.3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opLeftCell="A14" workbookViewId="0">
      <selection activeCell="A2" sqref="A2"/>
    </sheetView>
  </sheetViews>
  <sheetFormatPr defaultRowHeight="15" x14ac:dyDescent="0.25"/>
  <cols>
    <col min="1" max="1" width="23.140625" style="19" customWidth="1"/>
    <col min="2" max="2" width="12.7109375" style="19" bestFit="1" customWidth="1"/>
    <col min="3" max="3" width="12.7109375" style="19" customWidth="1"/>
    <col min="4" max="4" width="12.140625" style="19" bestFit="1" customWidth="1"/>
    <col min="5" max="5" width="11.7109375" style="19" bestFit="1" customWidth="1"/>
    <col min="6" max="6" width="12" style="19" bestFit="1" customWidth="1"/>
    <col min="8" max="8" width="13.28515625" style="23" bestFit="1" customWidth="1"/>
  </cols>
  <sheetData>
    <row r="1" spans="1:9" x14ac:dyDescent="0.25">
      <c r="A1" s="25" t="s">
        <v>23</v>
      </c>
    </row>
    <row r="2" spans="1:9" x14ac:dyDescent="0.25">
      <c r="A2" s="25" t="s">
        <v>25</v>
      </c>
    </row>
    <row r="3" spans="1:9" x14ac:dyDescent="0.25">
      <c r="A3" s="26">
        <v>45078</v>
      </c>
    </row>
    <row r="4" spans="1:9" ht="34.5" x14ac:dyDescent="0.25">
      <c r="A4" s="1"/>
      <c r="B4" s="1" t="s">
        <v>0</v>
      </c>
      <c r="C4" s="1" t="s">
        <v>24</v>
      </c>
      <c r="D4" s="1" t="s">
        <v>1</v>
      </c>
      <c r="E4" s="1" t="s">
        <v>2</v>
      </c>
      <c r="F4" s="1" t="s">
        <v>3</v>
      </c>
    </row>
    <row r="5" spans="1:9" x14ac:dyDescent="0.25">
      <c r="A5" s="2"/>
      <c r="B5" s="2"/>
      <c r="C5" s="2"/>
      <c r="D5" s="2"/>
      <c r="E5" s="2"/>
      <c r="F5" s="2"/>
    </row>
    <row r="6" spans="1:9" x14ac:dyDescent="0.25">
      <c r="A6" s="41" t="s">
        <v>4</v>
      </c>
      <c r="B6" s="3">
        <v>891984</v>
      </c>
      <c r="C6" s="3">
        <v>1039202</v>
      </c>
      <c r="D6" s="3">
        <v>1677</v>
      </c>
      <c r="E6" s="3">
        <v>1255</v>
      </c>
      <c r="F6" s="3">
        <f>SUM(B6:E6)</f>
        <v>1934118</v>
      </c>
      <c r="I6" s="22"/>
    </row>
    <row r="7" spans="1:9" x14ac:dyDescent="0.25">
      <c r="A7" s="42"/>
      <c r="B7" s="28">
        <v>724740</v>
      </c>
      <c r="C7" s="28">
        <v>472020</v>
      </c>
      <c r="D7" s="28">
        <v>65210</v>
      </c>
      <c r="E7" s="28">
        <v>4952</v>
      </c>
      <c r="F7" s="28">
        <f>SUM(B7:E7)</f>
        <v>1266922</v>
      </c>
      <c r="I7" s="22"/>
    </row>
    <row r="8" spans="1:9" x14ac:dyDescent="0.25">
      <c r="A8" s="39" t="s">
        <v>5</v>
      </c>
      <c r="B8" s="4">
        <v>3056079</v>
      </c>
      <c r="C8" s="4"/>
      <c r="D8" s="4">
        <v>75180</v>
      </c>
      <c r="E8" s="4">
        <v>46900</v>
      </c>
      <c r="F8" s="4">
        <f>+E8+D8+B8</f>
        <v>3178159</v>
      </c>
      <c r="I8" s="22"/>
    </row>
    <row r="9" spans="1:9" x14ac:dyDescent="0.25">
      <c r="A9" s="40"/>
      <c r="B9" s="29">
        <f>3290956-160000+53654</f>
        <v>3184610</v>
      </c>
      <c r="C9" s="29">
        <v>409775</v>
      </c>
      <c r="D9" s="29">
        <v>79425</v>
      </c>
      <c r="E9" s="29">
        <v>40003</v>
      </c>
      <c r="F9" s="29">
        <f>SUM(B9:E9)</f>
        <v>3713813</v>
      </c>
      <c r="I9" s="22"/>
    </row>
    <row r="10" spans="1:9" x14ac:dyDescent="0.25">
      <c r="A10" s="6" t="s">
        <v>6</v>
      </c>
      <c r="B10" s="4">
        <v>106500</v>
      </c>
      <c r="C10" s="21">
        <v>-160000</v>
      </c>
      <c r="D10" s="12">
        <v>100000</v>
      </c>
      <c r="E10" s="21">
        <v>-46500</v>
      </c>
      <c r="F10" s="5">
        <f>SUM(B10:E10)</f>
        <v>0</v>
      </c>
      <c r="I10" s="22"/>
    </row>
    <row r="11" spans="1:9" x14ac:dyDescent="0.25">
      <c r="A11" s="7"/>
      <c r="B11" s="30">
        <v>100000</v>
      </c>
      <c r="C11" s="32">
        <v>-160000</v>
      </c>
      <c r="D11" s="31">
        <v>100000</v>
      </c>
      <c r="E11" s="32">
        <v>-40000</v>
      </c>
      <c r="F11" s="30">
        <f>SUM(B11:E11)</f>
        <v>0</v>
      </c>
      <c r="I11" s="22"/>
    </row>
    <row r="12" spans="1:9" x14ac:dyDescent="0.25">
      <c r="A12" s="43" t="s">
        <v>7</v>
      </c>
      <c r="B12" s="9">
        <f>+B6+B8+B10</f>
        <v>4054563</v>
      </c>
      <c r="C12" s="10">
        <f t="shared" ref="C12" si="0">+C6+C8+C10</f>
        <v>879202</v>
      </c>
      <c r="D12" s="9">
        <f t="shared" ref="D12:F12" si="1">+D6+D8+D10</f>
        <v>176857</v>
      </c>
      <c r="E12" s="9">
        <f t="shared" si="1"/>
        <v>1655</v>
      </c>
      <c r="F12" s="9">
        <f t="shared" si="1"/>
        <v>5112277</v>
      </c>
      <c r="I12" s="22"/>
    </row>
    <row r="13" spans="1:9" x14ac:dyDescent="0.25">
      <c r="A13" s="43"/>
      <c r="B13" s="33">
        <f>+B11+B9+B7</f>
        <v>4009350</v>
      </c>
      <c r="C13" s="33">
        <f>+C7+C9+C11</f>
        <v>721795</v>
      </c>
      <c r="D13" s="33">
        <f>+D7+D9+D10</f>
        <v>244635</v>
      </c>
      <c r="E13" s="33">
        <f t="shared" ref="E13:F13" si="2">+E11+E9+E7</f>
        <v>4955</v>
      </c>
      <c r="F13" s="33">
        <f t="shared" si="2"/>
        <v>4980735</v>
      </c>
      <c r="I13" s="22"/>
    </row>
    <row r="14" spans="1:9" x14ac:dyDescent="0.25">
      <c r="A14" s="11"/>
      <c r="B14" s="11"/>
      <c r="C14" s="11"/>
      <c r="D14" s="11"/>
      <c r="E14" s="11"/>
      <c r="F14" s="11"/>
      <c r="I14" s="22"/>
    </row>
    <row r="15" spans="1:9" x14ac:dyDescent="0.25">
      <c r="A15" s="44" t="s">
        <v>8</v>
      </c>
      <c r="B15" s="44"/>
      <c r="C15" s="44"/>
      <c r="D15" s="44"/>
      <c r="E15" s="44"/>
      <c r="F15" s="44"/>
      <c r="I15" s="22"/>
    </row>
    <row r="16" spans="1:9" x14ac:dyDescent="0.25">
      <c r="A16" s="39" t="s">
        <v>9</v>
      </c>
      <c r="B16" s="12">
        <v>462431</v>
      </c>
      <c r="C16" s="12">
        <v>165569</v>
      </c>
      <c r="D16" s="12"/>
      <c r="E16" s="12"/>
      <c r="F16" s="12">
        <f t="shared" ref="F16:F27" si="3">SUM(B16:E16)</f>
        <v>628000</v>
      </c>
      <c r="I16" s="22"/>
    </row>
    <row r="17" spans="1:9" x14ac:dyDescent="0.25">
      <c r="A17" s="40"/>
      <c r="B17" s="34">
        <v>371461</v>
      </c>
      <c r="C17" s="34">
        <f>136758+10462+29550</f>
        <v>176770</v>
      </c>
      <c r="D17" s="35"/>
      <c r="E17" s="35"/>
      <c r="F17" s="34">
        <f t="shared" si="3"/>
        <v>548231</v>
      </c>
      <c r="I17" s="22"/>
    </row>
    <row r="18" spans="1:9" x14ac:dyDescent="0.25">
      <c r="A18" s="39" t="s">
        <v>10</v>
      </c>
      <c r="B18" s="12">
        <v>1143165</v>
      </c>
      <c r="C18" s="12">
        <v>34370</v>
      </c>
      <c r="D18" s="12"/>
      <c r="E18" s="12"/>
      <c r="F18" s="12">
        <f t="shared" si="3"/>
        <v>1177535</v>
      </c>
      <c r="I18" s="22"/>
    </row>
    <row r="19" spans="1:9" x14ac:dyDescent="0.25">
      <c r="A19" s="40"/>
      <c r="B19" s="34">
        <v>1205116</v>
      </c>
      <c r="C19" s="34">
        <v>34370</v>
      </c>
      <c r="D19" s="34"/>
      <c r="E19" s="34"/>
      <c r="F19" s="34">
        <f t="shared" si="3"/>
        <v>1239486</v>
      </c>
      <c r="I19" s="22"/>
    </row>
    <row r="20" spans="1:9" x14ac:dyDescent="0.25">
      <c r="A20" s="39" t="s">
        <v>11</v>
      </c>
      <c r="B20" s="12">
        <v>317971</v>
      </c>
      <c r="C20" s="12">
        <v>130110</v>
      </c>
      <c r="D20" s="12">
        <v>173741</v>
      </c>
      <c r="E20" s="12"/>
      <c r="F20" s="12">
        <f t="shared" si="3"/>
        <v>621822</v>
      </c>
      <c r="I20" s="22"/>
    </row>
    <row r="21" spans="1:9" x14ac:dyDescent="0.25">
      <c r="A21" s="40"/>
      <c r="B21" s="34">
        <v>347311</v>
      </c>
      <c r="C21" s="34">
        <v>0</v>
      </c>
      <c r="D21" s="34">
        <v>236729</v>
      </c>
      <c r="E21" s="34"/>
      <c r="F21" s="34">
        <f t="shared" si="3"/>
        <v>584040</v>
      </c>
      <c r="I21" s="22"/>
    </row>
    <row r="22" spans="1:9" x14ac:dyDescent="0.25">
      <c r="A22" s="39" t="s">
        <v>12</v>
      </c>
      <c r="B22" s="12">
        <v>32483</v>
      </c>
      <c r="C22" s="12"/>
      <c r="D22" s="12"/>
      <c r="E22" s="12"/>
      <c r="F22" s="8">
        <f t="shared" si="3"/>
        <v>32483</v>
      </c>
      <c r="I22" s="22"/>
    </row>
    <row r="23" spans="1:9" x14ac:dyDescent="0.25">
      <c r="A23" s="40"/>
      <c r="B23" s="34">
        <v>34322</v>
      </c>
      <c r="C23" s="35"/>
      <c r="D23" s="35"/>
      <c r="E23" s="35"/>
      <c r="F23" s="34">
        <f t="shared" si="3"/>
        <v>34322</v>
      </c>
      <c r="I23" s="22"/>
    </row>
    <row r="24" spans="1:9" x14ac:dyDescent="0.25">
      <c r="A24" s="39" t="s">
        <v>13</v>
      </c>
      <c r="B24" s="12">
        <v>184518</v>
      </c>
      <c r="C24" s="8"/>
      <c r="D24" s="8"/>
      <c r="E24" s="8"/>
      <c r="F24" s="12">
        <f t="shared" si="3"/>
        <v>184518</v>
      </c>
      <c r="I24" s="22"/>
    </row>
    <row r="25" spans="1:9" x14ac:dyDescent="0.25">
      <c r="A25" s="40"/>
      <c r="B25" s="34">
        <v>185700</v>
      </c>
      <c r="C25" s="34"/>
      <c r="D25" s="34"/>
      <c r="E25" s="34"/>
      <c r="F25" s="34">
        <f t="shared" si="3"/>
        <v>185700</v>
      </c>
      <c r="I25" s="22"/>
    </row>
    <row r="26" spans="1:9" x14ac:dyDescent="0.25">
      <c r="A26" s="39" t="s">
        <v>14</v>
      </c>
      <c r="B26" s="12">
        <v>643468</v>
      </c>
      <c r="C26" s="12">
        <v>21119</v>
      </c>
      <c r="D26" s="12"/>
      <c r="E26" s="12"/>
      <c r="F26" s="12">
        <f t="shared" si="3"/>
        <v>664587</v>
      </c>
      <c r="I26" s="22"/>
    </row>
    <row r="27" spans="1:9" x14ac:dyDescent="0.25">
      <c r="A27" s="40"/>
      <c r="B27" s="34">
        <f>124366+508800+15000</f>
        <v>648166</v>
      </c>
      <c r="C27" s="34">
        <v>20049</v>
      </c>
      <c r="D27" s="34"/>
      <c r="E27" s="34"/>
      <c r="F27" s="34">
        <f t="shared" si="3"/>
        <v>668215</v>
      </c>
      <c r="I27" s="22"/>
    </row>
    <row r="28" spans="1:9" x14ac:dyDescent="0.25">
      <c r="A28" s="39" t="s">
        <v>15</v>
      </c>
      <c r="B28" s="4">
        <v>157564</v>
      </c>
      <c r="C28" s="4">
        <v>17877</v>
      </c>
      <c r="D28" s="5"/>
      <c r="E28" s="4">
        <v>50</v>
      </c>
      <c r="F28" s="4">
        <f>+E28+B28</f>
        <v>157614</v>
      </c>
      <c r="I28" s="22"/>
    </row>
    <row r="29" spans="1:9" x14ac:dyDescent="0.25">
      <c r="A29" s="40"/>
      <c r="B29" s="34">
        <v>121396</v>
      </c>
      <c r="C29" s="34">
        <v>18586</v>
      </c>
      <c r="D29" s="34"/>
      <c r="E29" s="34">
        <v>50</v>
      </c>
      <c r="F29" s="34">
        <f>SUM(B29:E29)</f>
        <v>140032</v>
      </c>
      <c r="I29" s="22"/>
    </row>
    <row r="30" spans="1:9" x14ac:dyDescent="0.25">
      <c r="A30" s="39" t="s">
        <v>16</v>
      </c>
      <c r="B30" s="4">
        <v>86854</v>
      </c>
      <c r="C30" s="5"/>
      <c r="D30" s="5"/>
      <c r="E30" s="5"/>
      <c r="F30" s="4">
        <f>SUM(B30:E30)</f>
        <v>86854</v>
      </c>
      <c r="I30" s="22"/>
    </row>
    <row r="31" spans="1:9" x14ac:dyDescent="0.25">
      <c r="A31" s="40"/>
      <c r="B31" s="34">
        <v>121865</v>
      </c>
      <c r="C31" s="34"/>
      <c r="D31" s="34"/>
      <c r="E31" s="34"/>
      <c r="F31" s="34">
        <f>SUM(B31:E31)</f>
        <v>121865</v>
      </c>
      <c r="I31" s="22"/>
    </row>
    <row r="32" spans="1:9" x14ac:dyDescent="0.25">
      <c r="A32" s="39" t="s">
        <v>17</v>
      </c>
      <c r="B32" s="4">
        <v>192376</v>
      </c>
      <c r="C32" s="5"/>
      <c r="D32" s="5"/>
      <c r="E32" s="5"/>
      <c r="F32" s="4">
        <f>SUM(B32:E32)</f>
        <v>192376</v>
      </c>
      <c r="I32" s="22"/>
    </row>
    <row r="33" spans="1:9" x14ac:dyDescent="0.25">
      <c r="A33" s="40"/>
      <c r="B33" s="34">
        <v>234774</v>
      </c>
      <c r="C33" s="34"/>
      <c r="D33" s="34"/>
      <c r="E33" s="34"/>
      <c r="F33" s="34">
        <f>SUM(B33:E33)</f>
        <v>234774</v>
      </c>
      <c r="I33" s="22"/>
    </row>
    <row r="34" spans="1:9" x14ac:dyDescent="0.25">
      <c r="A34" s="45" t="s">
        <v>18</v>
      </c>
      <c r="B34" s="13">
        <f>+B16+B18+B20+B22+B24+B26+B28+B30+B32</f>
        <v>3220830</v>
      </c>
      <c r="C34" s="13">
        <f>+C16+C18+C20+C26+C28</f>
        <v>369045</v>
      </c>
      <c r="D34" s="13">
        <f t="shared" ref="D34" si="4">+D16+D18+D20+D22+D24+D26+D28+D30+D32</f>
        <v>173741</v>
      </c>
      <c r="E34" s="14">
        <f>+E28</f>
        <v>50</v>
      </c>
      <c r="F34" s="13">
        <f>+B34+C34+D34+E34</f>
        <v>3763666</v>
      </c>
      <c r="I34" s="22"/>
    </row>
    <row r="35" spans="1:9" x14ac:dyDescent="0.25">
      <c r="A35" s="46"/>
      <c r="B35" s="14">
        <f>+B17+B19+B21+B23+B25+B27+B29+B31+B33</f>
        <v>3270111</v>
      </c>
      <c r="C35" s="14">
        <f>+C17+C19+C27+C29</f>
        <v>249775</v>
      </c>
      <c r="D35" s="14">
        <f>+D21</f>
        <v>236729</v>
      </c>
      <c r="E35" s="14">
        <f>+E29</f>
        <v>50</v>
      </c>
      <c r="F35" s="14">
        <f>SUM(B35:E35)</f>
        <v>3756665</v>
      </c>
      <c r="I35" s="22"/>
    </row>
    <row r="36" spans="1:9" x14ac:dyDescent="0.25">
      <c r="A36" s="45" t="s">
        <v>19</v>
      </c>
      <c r="B36" s="15">
        <f>-B34+B12</f>
        <v>833733</v>
      </c>
      <c r="C36" s="16">
        <f>+C12-C34</f>
        <v>510157</v>
      </c>
      <c r="D36" s="16">
        <f>+D12-D20</f>
        <v>3116</v>
      </c>
      <c r="E36" s="16">
        <f>-E34+E12</f>
        <v>1605</v>
      </c>
      <c r="F36" s="16">
        <f>+F12-F34</f>
        <v>1348611</v>
      </c>
      <c r="I36" s="22"/>
    </row>
    <row r="37" spans="1:9" x14ac:dyDescent="0.25">
      <c r="A37" s="46"/>
      <c r="B37" s="17">
        <f>-B35+B13</f>
        <v>739239</v>
      </c>
      <c r="C37" s="27">
        <f>+C35</f>
        <v>249775</v>
      </c>
      <c r="D37" s="17">
        <f>-D35+D13</f>
        <v>7906</v>
      </c>
      <c r="E37" s="17">
        <f>+E13-E35</f>
        <v>4905</v>
      </c>
      <c r="F37" s="17">
        <f>SUM(B37:E37)</f>
        <v>1001825</v>
      </c>
      <c r="I37" s="22"/>
    </row>
    <row r="38" spans="1:9" x14ac:dyDescent="0.25">
      <c r="A38" s="47" t="s">
        <v>20</v>
      </c>
      <c r="B38" s="18">
        <f t="shared" ref="B38:F39" si="5">+B36</f>
        <v>833733</v>
      </c>
      <c r="C38" s="18">
        <v>0</v>
      </c>
      <c r="D38" s="18">
        <f t="shared" si="5"/>
        <v>3116</v>
      </c>
      <c r="E38" s="18">
        <f t="shared" si="5"/>
        <v>1605</v>
      </c>
      <c r="F38" s="18">
        <f t="shared" si="5"/>
        <v>1348611</v>
      </c>
      <c r="I38" s="22"/>
    </row>
    <row r="39" spans="1:9" x14ac:dyDescent="0.25">
      <c r="A39" s="48"/>
      <c r="B39" s="36">
        <f t="shared" si="5"/>
        <v>739239</v>
      </c>
      <c r="C39" s="36">
        <f>+C13-C37</f>
        <v>472020</v>
      </c>
      <c r="D39" s="36">
        <f t="shared" si="5"/>
        <v>7906</v>
      </c>
      <c r="E39" s="36">
        <f t="shared" si="5"/>
        <v>4905</v>
      </c>
      <c r="F39" s="36">
        <f>SUM(B39:E39)</f>
        <v>1224070</v>
      </c>
      <c r="I39" s="22"/>
    </row>
    <row r="43" spans="1:9" x14ac:dyDescent="0.25">
      <c r="A43" s="19" t="s">
        <v>21</v>
      </c>
    </row>
    <row r="44" spans="1:9" x14ac:dyDescent="0.25">
      <c r="A44" s="19" t="s">
        <v>22</v>
      </c>
      <c r="B44" s="24">
        <f>+B9+B11-B35</f>
        <v>14499</v>
      </c>
      <c r="C44" s="20">
        <f t="shared" ref="C44:E44" si="6">+C39-C7</f>
        <v>0</v>
      </c>
      <c r="D44" s="24">
        <f t="shared" si="6"/>
        <v>-57304</v>
      </c>
      <c r="E44" s="24">
        <f t="shared" si="6"/>
        <v>-47</v>
      </c>
      <c r="F44" s="20"/>
    </row>
    <row r="45" spans="1:9" x14ac:dyDescent="0.25">
      <c r="B45" s="20"/>
      <c r="C45" s="20"/>
      <c r="D45" s="20"/>
      <c r="E45" s="20"/>
      <c r="F45" s="20"/>
    </row>
    <row r="46" spans="1:9" x14ac:dyDescent="0.25">
      <c r="B46" s="20"/>
      <c r="C46" s="20"/>
      <c r="D46" s="20"/>
      <c r="E46" s="20"/>
      <c r="F46" s="20"/>
    </row>
    <row r="47" spans="1:9" x14ac:dyDescent="0.25">
      <c r="B47" s="20"/>
      <c r="C47" s="20"/>
      <c r="D47" s="20"/>
      <c r="E47" s="20"/>
      <c r="F47" s="20"/>
    </row>
    <row r="48" spans="1:9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</sheetData>
  <mergeCells count="16"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30:A31"/>
    <mergeCell ref="A18:A19"/>
    <mergeCell ref="A6:A7"/>
    <mergeCell ref="A8:A9"/>
    <mergeCell ref="A12:A13"/>
    <mergeCell ref="A15:F15"/>
    <mergeCell ref="A16:A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96ee48-ea19-431d-84c1-c3360973e13d" xsi:nil="true"/>
    <lcf76f155ced4ddcb4097134ff3c332f xmlns="ecbd91c9-0d0a-4e3e-87f8-81e175ad4402">
      <Terms xmlns="http://schemas.microsoft.com/office/infopath/2007/PartnerControls"/>
    </lcf76f155ced4ddcb4097134ff3c332f>
    <_dlc_DocId xmlns="9296ee48-ea19-431d-84c1-c3360973e13d">6DYCXMPY7RA7-1146681511-119012</_dlc_DocId>
    <_dlc_DocIdUrl xmlns="9296ee48-ea19-431d-84c1-c3360973e13d">
      <Url>https://southgateky.sharepoint.com/sites/Admin/_layouts/15/DocIdRedir.aspx?ID=6DYCXMPY7RA7-1146681511-119012</Url>
      <Description>6DYCXMPY7RA7-1146681511-119012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F3F3FE4516524CA93AE2816CAEC434" ma:contentTypeVersion="13" ma:contentTypeDescription="Create a new document." ma:contentTypeScope="" ma:versionID="40b8049ebb036e2c134958424c94206d">
  <xsd:schema xmlns:xsd="http://www.w3.org/2001/XMLSchema" xmlns:xs="http://www.w3.org/2001/XMLSchema" xmlns:p="http://schemas.microsoft.com/office/2006/metadata/properties" xmlns:ns2="9296ee48-ea19-431d-84c1-c3360973e13d" xmlns:ns3="ecbd91c9-0d0a-4e3e-87f8-81e175ad4402" targetNamespace="http://schemas.microsoft.com/office/2006/metadata/properties" ma:root="true" ma:fieldsID="ea392e0ae3bb944b1191e227eb441338" ns2:_="" ns3:_="">
    <xsd:import namespace="9296ee48-ea19-431d-84c1-c3360973e13d"/>
    <xsd:import namespace="ecbd91c9-0d0a-4e3e-87f8-81e175ad440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6ee48-ea19-431d-84c1-c3360973e1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38611649-7180-4d9f-ba5e-b9285122822d}" ma:internalName="TaxCatchAll" ma:showField="CatchAllData" ma:web="9296ee48-ea19-431d-84c1-c3360973e1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d91c9-0d0a-4e3e-87f8-81e175ad4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76bb257-1184-4c22-939b-44b23547f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53ACD1-3C17-48C8-BCF1-7C7DBBFC25B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b843be1-7cbc-4c2e-a850-4be4c6561e7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EDD83B-43FE-4EC6-B3CB-C6FDCDA79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84FF8-A1E3-4A51-BE31-0953F42F18EF}"/>
</file>

<file path=customXml/itemProps4.xml><?xml version="1.0" encoding="utf-8"?>
<ds:datastoreItem xmlns:ds="http://schemas.openxmlformats.org/officeDocument/2006/customXml" ds:itemID="{5FA47533-BBEC-4A8A-877D-776018B7F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Amend 6-30-2026</vt:lpstr>
      <vt:lpstr>Amend 6-30-2025</vt:lpstr>
      <vt:lpstr>Amend 6-30-2024</vt:lpstr>
      <vt:lpstr>Amend 6-30-2023</vt:lpstr>
      <vt:lpstr>'Amend 6-30-2026'!Print_Area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Hudson</dc:creator>
  <cp:lastModifiedBy>Patty Edgley</cp:lastModifiedBy>
  <cp:lastPrinted>2026-05-18T21:35:47Z</cp:lastPrinted>
  <dcterms:created xsi:type="dcterms:W3CDTF">2019-05-29T15:54:27Z</dcterms:created>
  <dcterms:modified xsi:type="dcterms:W3CDTF">2026-05-18T21:39:50Z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0x0101000EF3F3FE4516524CA93AE2816CAEC434</vt:lpwstr>
  </property>
  <property fmtid="{D5CDD505-2E9C-101B-9397-08002B2CF9AE}" pid="3" name="_dlc_DocIdItemGuid">
    <vt:lpwstr>ecf05038-6150-4545-b9af-8f55a0a4778a</vt:lpwstr>
  </property>
  <property fmtid="{D5CDD505-2E9C-101B-9397-08002B2CF9AE}" pid="4" name="MediaServiceImageTags">
    <vt:lpwstr/>
  </property>
</Properties>
</file>